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050" windowWidth="15480" windowHeight="8700" tabRatio="768" firstSheet="1" activeTab="2"/>
  </bookViews>
  <sheets>
    <sheet name="Lists" sheetId="1" state="hidden" r:id="rId1"/>
    <sheet name="1. Performance Summary" sheetId="2" r:id="rId2"/>
    <sheet name="2. 2009 Data Report" sheetId="3" r:id="rId3"/>
    <sheet name="3. Conservation &amp; RE Measures" sheetId="4" r:id="rId4"/>
    <sheet name="4. Source Energy Savings Credit" sheetId="5" r:id="rId5"/>
    <sheet name="5. Operating On-Site RE" sheetId="6" r:id="rId6"/>
    <sheet name="6. Fleet" sheetId="7" r:id="rId7"/>
    <sheet name="7. New Bldg Construction" sheetId="8" r:id="rId8"/>
    <sheet name="8. Existing Bldgs" sheetId="9" r:id="rId9"/>
    <sheet name="9. Optional 2015 Projection" sheetId="10" r:id="rId10"/>
  </sheets>
  <definedNames>
    <definedName name="Bldg">'Lists'!#REF!</definedName>
    <definedName name="Fleet">'Lists'!$H$18:$H$31</definedName>
    <definedName name="FleetFund">'Lists'!$L$18:$L$23</definedName>
    <definedName name="Fuel">'Lists'!$K$18:$K$27</definedName>
    <definedName name="Funding">'Lists'!$G$18:$G$27</definedName>
    <definedName name="GPStatus">'Lists'!$O$18:$O$20</definedName>
    <definedName name="HPSB">'Lists'!$Q$18:$Q$24</definedName>
    <definedName name="leedcERT">'Lists'!$Q$18:$Q$22</definedName>
    <definedName name="LEEDv">'Lists'!$P$18:$P$20</definedName>
    <definedName name="Measures">'Lists'!$F$18:$F$51</definedName>
    <definedName name="Path">'Lists'!$N$18:$N$20</definedName>
    <definedName name="_xlnm.Print_Area" localSheetId="1">'1. Performance Summary'!$F$1:$K$33</definedName>
    <definedName name="_xlnm.Print_Area" localSheetId="2">'2. 2009 Data Report'!$A$1:$K$294</definedName>
    <definedName name="_xlnm.Print_Area" localSheetId="3">'3. Conservation &amp; RE Measures'!$A$2:$Q$201</definedName>
    <definedName name="_xlnm.Print_Area" localSheetId="5">'5. Operating On-Site RE'!$R$1:$AA$127</definedName>
    <definedName name="_xlnm.Print_Area" localSheetId="9">'9. Optional 2015 Projection'!$E$1:$L$49</definedName>
    <definedName name="_xlnm.Print_Area" localSheetId="0">'Lists'!$A$1:$R$60</definedName>
    <definedName name="_xlnm.Print_Titles" localSheetId="2">'2. 2009 Data Report'!$1:$2</definedName>
    <definedName name="_xlnm.Print_Titles" localSheetId="3">'3. Conservation &amp; RE Measures'!$2:$4</definedName>
    <definedName name="RE1">'5. Operating On-Site RE'!$M:$M</definedName>
    <definedName name="RE11">'5. Operating On-Site RE'!$O:$O</definedName>
    <definedName name="RE2">'5. Operating On-Site RE'!$N:$N</definedName>
    <definedName name="RE22">'5. Operating On-Site RE'!$P:$P</definedName>
    <definedName name="RE3">'5. Operating On-Site RE'!$Q:$Q</definedName>
    <definedName name="REC19">'Lists'!$M$18:$M$22</definedName>
    <definedName name="REMBtu">'5. Operating On-Site RE'!$X:$X</definedName>
    <definedName name="REMWH">'5. Operating On-Site RE'!$V:$V</definedName>
    <definedName name="Retro">'Lists'!#REF!</definedName>
    <definedName name="REType">'Lists'!$B$18:$B$40</definedName>
    <definedName name="REUnits">'Lists'!#REF!</definedName>
    <definedName name="Size">'Lists'!$J$18:$J$23</definedName>
    <definedName name="Status">'Lists'!$E$18:$E$23</definedName>
    <definedName name="Status2015">'Lists'!$R$18:$R$25</definedName>
    <definedName name="System_Type">'Lists'!$B$18:$B$40</definedName>
    <definedName name="System_Unit">'Lists'!#REF!</definedName>
    <definedName name="Vehicle">'Lists'!$I$18:$I$29</definedName>
    <definedName name="YN">'Lists'!$A$18:$A$20</definedName>
    <definedName name="Z_DB9AC08A_25A1_47B9_B29D_A1776E346394_.wvu.Cols" localSheetId="5" hidden="1">'5. Operating On-Site RE'!#REF!</definedName>
    <definedName name="Z_DB9AC08A_25A1_47B9_B29D_A1776E346394_.wvu.FilterData" localSheetId="5" hidden="1">'5. Operating On-Site RE'!$R$5:$AA$6</definedName>
    <definedName name="Z_DB9AC08A_25A1_47B9_B29D_A1776E346394_.wvu.FilterData" localSheetId="0" hidden="1">'Lists'!#REF!</definedName>
    <definedName name="Z_DB9AC08A_25A1_47B9_B29D_A1776E346394_.wvu.PrintArea" localSheetId="2" hidden="1">'2. 2009 Data Report'!$A$1:$L$294</definedName>
    <definedName name="Z_DB9AC08A_25A1_47B9_B29D_A1776E346394_.wvu.PrintArea" localSheetId="5" hidden="1">'5. Operating On-Site RE'!$R$1:$AA$127</definedName>
    <definedName name="Z_DB9AC08A_25A1_47B9_B29D_A1776E346394_.wvu.PrintTitles" localSheetId="2" hidden="1">'2. 2009 Data Report'!$1:$1</definedName>
  </definedNames>
  <calcPr fullCalcOnLoad="1"/>
</workbook>
</file>

<file path=xl/comments1.xml><?xml version="1.0" encoding="utf-8"?>
<comments xmlns="http://schemas.openxmlformats.org/spreadsheetml/2006/main">
  <authors>
    <author>SMotamedi</author>
  </authors>
  <commentList>
    <comment ref="B36" authorId="0">
      <text>
        <r>
          <rPr>
            <b/>
            <sz val="8"/>
            <rFont val="Tahoma"/>
            <family val="2"/>
          </rPr>
          <t>SMotamedi:</t>
        </r>
        <r>
          <rPr>
            <sz val="8"/>
            <rFont val="Tahoma"/>
            <family val="2"/>
          </rPr>
          <t xml:space="preserve">
Solar Heating &amp; Cooling</t>
        </r>
      </text>
    </comment>
  </commentList>
</comments>
</file>

<file path=xl/comments10.xml><?xml version="1.0" encoding="utf-8"?>
<comments xmlns="http://schemas.openxmlformats.org/spreadsheetml/2006/main">
  <authors>
    <author>SMotamedi</author>
  </authors>
  <commentList>
    <comment ref="E5" authorId="0">
      <text>
        <r>
          <rPr>
            <sz val="8"/>
            <rFont val="Tahoma"/>
            <family val="2"/>
          </rPr>
          <t>Provide the building name or number.  For existing buildings, ensure the name corresponds with the FIMS database “Property ID” or “Property Name.”</t>
        </r>
      </text>
    </comment>
    <comment ref="H5" authorId="0">
      <text>
        <r>
          <rPr>
            <sz val="8"/>
            <rFont val="Tahoma"/>
            <family val="2"/>
          </rPr>
          <t>Enter the fiscal year for which the building status will change, such as the year when the building is dispositioned.</t>
        </r>
      </text>
    </comment>
    <comment ref="I5" authorId="0">
      <text>
        <r>
          <rPr>
            <sz val="8"/>
            <rFont val="Tahoma"/>
            <family val="2"/>
          </rPr>
          <t>Provide the estimated square footage of building in whole numbers (not thousands or millions).</t>
        </r>
      </text>
    </comment>
    <comment ref="J5" authorId="0">
      <text>
        <r>
          <rPr>
            <sz val="8"/>
            <rFont val="Tahoma"/>
            <family val="2"/>
          </rPr>
          <t>Provide the associated estimated annual energy consumption of the building in millions of site-delivered Btu.</t>
        </r>
      </text>
    </comment>
    <comment ref="K5" authorId="0">
      <text>
        <r>
          <rPr>
            <sz val="8"/>
            <rFont val="Tahoma"/>
            <family val="2"/>
          </rPr>
          <t xml:space="preserve">Provide the associated estimated annual water consumption of the building in thousands of gallons. </t>
        </r>
      </text>
    </comment>
    <comment ref="L5" authorId="0">
      <text>
        <r>
          <rPr>
            <sz val="8"/>
            <rFont val="Tahoma"/>
            <family val="2"/>
          </rPr>
          <t>Provide a short description of how the associated annual energy and/or water consumption were estimated (e.g., metering for a building slated for disposition or energy modeling for new construction buildings).</t>
        </r>
      </text>
    </comment>
    <comment ref="G5" authorId="0">
      <text>
        <r>
          <rPr>
            <sz val="8"/>
            <rFont val="Tahoma"/>
            <family val="2"/>
          </rPr>
          <t>Select the anticipated status of the building in FY 2015 from the drop-down list.  If the status is not listed, then type in a description of the FY 2015 status.</t>
        </r>
      </text>
    </comment>
    <comment ref="F5" authorId="0">
      <text>
        <r>
          <rPr>
            <sz val="8"/>
            <rFont val="Tahoma"/>
            <family val="2"/>
          </rPr>
          <t xml:space="preserve">Provide a short description of the building type or use. </t>
        </r>
        <r>
          <rPr>
            <sz val="8"/>
            <rFont val="Tahoma"/>
            <family val="0"/>
          </rPr>
          <t xml:space="preserve">
</t>
        </r>
      </text>
    </comment>
  </commentList>
</comments>
</file>

<file path=xl/comments3.xml><?xml version="1.0" encoding="utf-8"?>
<comments xmlns="http://schemas.openxmlformats.org/spreadsheetml/2006/main">
  <authors>
    <author>ctremper</author>
    <author>Chris Tremper</author>
    <author>Kevin DeGroat</author>
    <author>SMotamedi</author>
  </authors>
  <commentList>
    <comment ref="E12" authorId="0">
      <text>
        <r>
          <rPr>
            <sz val="8"/>
            <rFont val="Tahoma"/>
            <family val="2"/>
          </rPr>
          <t>FY07 Federal Average:
$0.078/kWh</t>
        </r>
      </text>
    </comment>
    <comment ref="E13" authorId="0">
      <text>
        <r>
          <rPr>
            <sz val="8"/>
            <rFont val="Tahoma"/>
            <family val="2"/>
          </rPr>
          <t>FY07 Federal Average:
$2.03/gallon</t>
        </r>
      </text>
    </comment>
    <comment ref="E14" authorId="0">
      <text>
        <r>
          <rPr>
            <sz val="8"/>
            <rFont val="Tahoma"/>
            <family val="2"/>
          </rPr>
          <t>FY07 Federal Average:
$9.34/Thou. Cu. Ft.</t>
        </r>
      </text>
    </comment>
    <comment ref="E15" authorId="0">
      <text>
        <r>
          <rPr>
            <sz val="8"/>
            <rFont val="Tahoma"/>
            <family val="2"/>
          </rPr>
          <t>FY07 Federal Average:
$1.56/gallon</t>
        </r>
      </text>
    </comment>
    <comment ref="E16" authorId="0">
      <text>
        <r>
          <rPr>
            <sz val="8"/>
            <rFont val="Tahoma"/>
            <family val="2"/>
          </rPr>
          <t>FY07 Federal Average:
$73.66/Short Ton</t>
        </r>
      </text>
    </comment>
    <comment ref="E17" authorId="0">
      <text>
        <r>
          <rPr>
            <sz val="8"/>
            <rFont val="Tahoma"/>
            <family val="2"/>
          </rPr>
          <t>FY07 Federal Average:
$23.99/MMBtu</t>
        </r>
      </text>
    </comment>
    <comment ref="E18" authorId="0">
      <text>
        <r>
          <rPr>
            <sz val="8"/>
            <rFont val="Tahoma"/>
            <family val="2"/>
          </rPr>
          <t>FY07 Federal Average:
$15.62/MMBtu</t>
        </r>
      </text>
    </comment>
    <comment ref="E80" authorId="0">
      <text>
        <r>
          <rPr>
            <sz val="8"/>
            <rFont val="Tahoma"/>
            <family val="2"/>
          </rPr>
          <t>FY07 Federal Average:
$2.48/gallon</t>
        </r>
      </text>
    </comment>
    <comment ref="E81" authorId="0">
      <text>
        <r>
          <rPr>
            <sz val="8"/>
            <rFont val="Tahoma"/>
            <family val="2"/>
          </rPr>
          <t>FY07 Federal Average:
$2.12/gallon</t>
        </r>
      </text>
    </comment>
    <comment ref="E82" authorId="0">
      <text>
        <r>
          <rPr>
            <sz val="8"/>
            <rFont val="Tahoma"/>
            <family val="2"/>
          </rPr>
          <t>FY07 Federal Average:
$1.63/gallon</t>
        </r>
      </text>
    </comment>
    <comment ref="E83" authorId="0">
      <text>
        <r>
          <rPr>
            <sz val="8"/>
            <rFont val="Tahoma"/>
            <family val="2"/>
          </rPr>
          <t>FY07 Federal Average:
$3.68/gallon</t>
        </r>
      </text>
    </comment>
    <comment ref="E84" authorId="0">
      <text>
        <r>
          <rPr>
            <sz val="8"/>
            <rFont val="Tahoma"/>
            <family val="2"/>
          </rPr>
          <t>FY07 Federal Average:
$2.01/gallon</t>
        </r>
      </text>
    </comment>
    <comment ref="E85" authorId="0">
      <text>
        <r>
          <rPr>
            <sz val="8"/>
            <rFont val="Tahoma"/>
            <family val="2"/>
          </rPr>
          <t>FY07 Federal Average:
$1.86/gallon</t>
        </r>
      </text>
    </comment>
    <comment ref="E86" authorId="0">
      <text>
        <r>
          <rPr>
            <sz val="8"/>
            <rFont val="Tahoma"/>
            <family val="2"/>
          </rPr>
          <t>FY07 Federal Average:
$13.85/MMBtu</t>
        </r>
      </text>
    </comment>
    <comment ref="A149" authorId="0">
      <text>
        <r>
          <rPr>
            <sz val="8"/>
            <rFont val="Tahoma"/>
            <family val="2"/>
          </rPr>
          <t>This includes, but is not limited to, solar thermal, biomass thermal, ground source heat pumps, and the thermal portion of combined heat and power renewable projects.  For ground source heat pumps only the difference in electricity consumption between a GSHP and an air-to-air heat pump that meets current Federal energy efficiency standards is considered renewable energy.  Agencies may use their own analyses of a GSHP project or estimate the savings based on 553 kWh/ton (1.887 million Btu/ton).  This estimate is based on modeling and analysis of a typical commercial building in multiple climate zones, weighted to account for population in climate zones.</t>
        </r>
      </text>
    </comment>
    <comment ref="A150" authorId="0">
      <text>
        <r>
          <rPr>
            <sz val="8"/>
            <rFont val="Tahoma"/>
            <family val="2"/>
          </rPr>
          <t>For other renewable energy that does not fit any category, fill in the type, units used, annual consumption and cost, and include any additional information in your narrative submission.  For example, mechanical energy or energy displaced by day lighting technology or passive solar design.</t>
        </r>
      </text>
    </comment>
    <comment ref="F140" authorId="0">
      <text>
        <r>
          <rPr>
            <sz val="8"/>
            <rFont val="Tahoma"/>
            <family val="2"/>
          </rPr>
          <t>Includes RE produced on Federal or Indian land and RE sold to 3rd parties if Government retains related RECs.</t>
        </r>
      </text>
    </comment>
    <comment ref="A154" authorId="0">
      <text>
        <r>
          <rPr>
            <sz val="8"/>
            <rFont val="Tahoma"/>
            <family val="2"/>
          </rPr>
          <t xml:space="preserve">Includes municipal solid waste and other waste to energy. Also includes biodiesel used in generators. </t>
        </r>
      </text>
    </comment>
    <comment ref="A144" authorId="0">
      <text>
        <r>
          <rPr>
            <sz val="8"/>
            <rFont val="Tahoma"/>
            <family val="2"/>
          </rPr>
          <t xml:space="preserve">Includes municipal solid waste and other waste to energy. Also includes biodiesel used in generators. </t>
        </r>
      </text>
    </comment>
    <comment ref="I11" authorId="1">
      <text>
        <r>
          <rPr>
            <sz val="8"/>
            <rFont val="Tahoma"/>
            <family val="2"/>
          </rPr>
          <t>Carbon Dioxide, Nitrous Oxide, and Methane in Metric Tons of Carbon Dioxide Equivalent</t>
        </r>
      </text>
    </comment>
    <comment ref="H79" authorId="1">
      <text>
        <r>
          <rPr>
            <sz val="8"/>
            <rFont val="Tahoma"/>
            <family val="2"/>
          </rPr>
          <t>Carbon Dioxide in Metric Tons</t>
        </r>
      </text>
    </comment>
    <comment ref="F162" authorId="2">
      <text>
        <r>
          <rPr>
            <sz val="8"/>
            <rFont val="Tahoma"/>
            <family val="2"/>
          </rPr>
          <t>If this cell shows ERROR, check to see that energy used does not exceed energy produced.</t>
        </r>
      </text>
    </comment>
    <comment ref="A147" authorId="2">
      <text>
        <r>
          <rPr>
            <sz val="8"/>
            <rFont val="Tahoma"/>
            <family val="2"/>
          </rPr>
          <t>Includes incremental hydropower which is defined as the energy generated as a result of modifications to existing dams, when the modification was put into service after 1/1/1999.  Also includes hydrokinetic generation.</t>
        </r>
      </text>
    </comment>
    <comment ref="A157" authorId="2">
      <text>
        <r>
          <rPr>
            <sz val="8"/>
            <rFont val="Tahoma"/>
            <family val="2"/>
          </rPr>
          <t>Includes incremental hydropower which is defined as the energy generated as a result of modifications to existing dams, when the modification was put into service before 1/1/1999.  Also includes hydrokinetic generation.</t>
        </r>
      </text>
    </comment>
    <comment ref="I170" authorId="2">
      <text>
        <r>
          <rPr>
            <sz val="8"/>
            <rFont val="Tahoma"/>
            <family val="2"/>
          </rPr>
          <t>This shows the amount of energy that can be counted for the renewable energy goal based on new RECs available to swap for the RECs that were sold or otherwise given up for these projects.  RECs are available for a swap to include these projects if the RECs are from a new project and they do not generate a bonus for being produced on Federal or Indian land.  Because they are new projects, this amount also contributes to the requirement that 50% of the goal must come from new renewable energy sources.  This amount is always maximized compared to the amount reported in the cell below that represents old projects.</t>
        </r>
        <r>
          <rPr>
            <sz val="8"/>
            <rFont val="Tahoma"/>
            <family val="2"/>
          </rPr>
          <t xml:space="preserve">
</t>
        </r>
      </text>
    </comment>
    <comment ref="I171" authorId="2">
      <text>
        <r>
          <rPr>
            <sz val="8"/>
            <rFont val="Tahoma"/>
            <family val="2"/>
          </rPr>
          <t xml:space="preserve">This shows the amount of energy that can be counted for the renewable energy goal based on new RECs available to swap for the RECs that were sold or otherwise given up for these projects.  RECs are available for a swap to include these projects if the RECs are from a new project and they do not generate a bonus for being produced on Federal or Indian land.  Because they are projects built before 1999, this amount </t>
        </r>
        <r>
          <rPr>
            <b/>
            <sz val="8"/>
            <rFont val="Tahoma"/>
            <family val="2"/>
          </rPr>
          <t>does not</t>
        </r>
        <r>
          <rPr>
            <sz val="8"/>
            <rFont val="Tahoma"/>
            <family val="2"/>
          </rPr>
          <t xml:space="preserve"> contribute to the requirement that 50% of the goal must come from new renewable energy sources.</t>
        </r>
        <r>
          <rPr>
            <sz val="8"/>
            <rFont val="Tahoma"/>
            <family val="2"/>
          </rPr>
          <t xml:space="preserve">
</t>
        </r>
      </text>
    </comment>
    <comment ref="C223" authorId="2">
      <text>
        <r>
          <rPr>
            <sz val="8"/>
            <rFont val="Tahoma"/>
            <family val="2"/>
          </rPr>
          <t>This cell adds together all of the "old" renewable energy reported and compares it to the renewable energy goal for the agency.  If it is less than 1.5% of total electricity use, it is all eligible to report.  If it is more than 1.5% of total electricity used, the amount in excess of 1.5% is only eligible to report if the requirement that half of the goal must come from new renewable energy is satisfied.  New non-electric renewable energy may also contribute to the E.O. 13423 requirement that 50% of the statutory RE goal must come from "new" sources.</t>
        </r>
      </text>
    </comment>
    <comment ref="C222" authorId="2">
      <text>
        <r>
          <rPr>
            <sz val="8"/>
            <rFont val="Tahoma"/>
            <family val="2"/>
          </rPr>
          <t>This cell captures the bonus for on-site generation or purchased renewable energy generated on Federal or Indian lands, from new projects.</t>
        </r>
        <r>
          <rPr>
            <sz val="8"/>
            <rFont val="Tahoma"/>
            <family val="2"/>
          </rPr>
          <t xml:space="preserve">
</t>
        </r>
      </text>
    </comment>
    <comment ref="C221" authorId="2">
      <text>
        <r>
          <rPr>
            <sz val="8"/>
            <rFont val="Tahoma"/>
            <family val="2"/>
          </rPr>
          <t>This cell captures the amount of renewable energy from new sources for purposes of meeting the requirement that at least half of the goal must be met with new sources.</t>
        </r>
      </text>
    </comment>
    <comment ref="F144" authorId="0">
      <text>
        <r>
          <rPr>
            <sz val="8"/>
            <rFont val="Tahoma"/>
            <family val="2"/>
          </rPr>
          <t>The conversion of fuel to electricity must occur on Federal or Indian land to be entered here.</t>
        </r>
      </text>
    </comment>
    <comment ref="E29" authorId="0">
      <text>
        <r>
          <rPr>
            <sz val="8"/>
            <rFont val="Tahoma"/>
            <family val="2"/>
          </rPr>
          <t>FY07 Federal Average:
$0.078/kWh</t>
        </r>
      </text>
    </comment>
    <comment ref="E30" authorId="0">
      <text>
        <r>
          <rPr>
            <sz val="8"/>
            <rFont val="Tahoma"/>
            <family val="2"/>
          </rPr>
          <t>FY07 Federal Average:
$2.03/gallon</t>
        </r>
      </text>
    </comment>
    <comment ref="E31" authorId="0">
      <text>
        <r>
          <rPr>
            <sz val="8"/>
            <rFont val="Tahoma"/>
            <family val="2"/>
          </rPr>
          <t>FY07 Federal Average:
$9.34/Thou. Cu. Ft.</t>
        </r>
      </text>
    </comment>
    <comment ref="E32" authorId="0">
      <text>
        <r>
          <rPr>
            <sz val="8"/>
            <rFont val="Tahoma"/>
            <family val="2"/>
          </rPr>
          <t>FY07 Federal Average:
$1.56/gallon</t>
        </r>
      </text>
    </comment>
    <comment ref="E33" authorId="0">
      <text>
        <r>
          <rPr>
            <sz val="8"/>
            <rFont val="Tahoma"/>
            <family val="2"/>
          </rPr>
          <t>FY07 Federal Average:
$73.66/Short Ton</t>
        </r>
      </text>
    </comment>
    <comment ref="E34" authorId="0">
      <text>
        <r>
          <rPr>
            <sz val="8"/>
            <rFont val="Tahoma"/>
            <family val="2"/>
          </rPr>
          <t>FY07 Federal Average:
$23.99/MMBtu</t>
        </r>
      </text>
    </comment>
    <comment ref="E35" authorId="0">
      <text>
        <r>
          <rPr>
            <sz val="8"/>
            <rFont val="Tahoma"/>
            <family val="2"/>
          </rPr>
          <t>FY07 Federal Average:
$15.62/MMBtu</t>
        </r>
      </text>
    </comment>
    <comment ref="A19" authorId="1">
      <text>
        <r>
          <rPr>
            <sz val="8"/>
            <rFont val="Tahoma"/>
            <family val="2"/>
          </rPr>
          <t>Calculated automatically from inputs in Table 1-9.</t>
        </r>
      </text>
    </comment>
    <comment ref="A20" authorId="1">
      <text>
        <r>
          <rPr>
            <sz val="8"/>
            <rFont val="Tahoma"/>
            <family val="2"/>
          </rPr>
          <t>Calculated automatically from inputs in Table 1-9.</t>
        </r>
      </text>
    </comment>
    <comment ref="A36" authorId="1">
      <text>
        <r>
          <rPr>
            <sz val="8"/>
            <rFont val="Tahoma"/>
            <family val="2"/>
          </rPr>
          <t>Calculated automatically from inputs in Table 1-6.</t>
        </r>
      </text>
    </comment>
    <comment ref="A37" authorId="1">
      <text>
        <r>
          <rPr>
            <sz val="8"/>
            <rFont val="Tahoma"/>
            <family val="2"/>
          </rPr>
          <t>Calculated automatically from inputs in Table 1-6.</t>
        </r>
      </text>
    </comment>
    <comment ref="I175" authorId="1">
      <text>
        <r>
          <rPr>
            <sz val="8"/>
            <rFont val="Tahoma"/>
            <family val="2"/>
          </rPr>
          <t>Purchase Term: Long-term purchases are 10 years or more; Short-term purchases are less than 10 years.
End Use Category: If a facility includes both Excluded and Goal subject buildings it is better to assign the purchase to Goal subject buildings for purposes of counting renewable energy toward energy intensity goals.</t>
        </r>
      </text>
    </comment>
    <comment ref="G184" authorId="1">
      <text>
        <r>
          <rPr>
            <sz val="8"/>
            <rFont val="Tahoma"/>
            <family val="2"/>
          </rPr>
          <t>May contribute toward 1.5% new source requirement, but not overall 3% goal.</t>
        </r>
      </text>
    </comment>
    <comment ref="B92" authorId="0">
      <text>
        <r>
          <rPr>
            <sz val="8"/>
            <rFont val="Tahoma"/>
            <family val="2"/>
          </rPr>
          <t>Gasoline Equivalent Gallons</t>
        </r>
      </text>
    </comment>
    <comment ref="A159" authorId="0">
      <text>
        <r>
          <rPr>
            <sz val="8"/>
            <rFont val="Tahoma"/>
            <family val="2"/>
          </rPr>
          <t>This includes, but is not limited to, solar thermal, biomass thermal, ground source heat pumps, and the thermal portion of combined heat and power renewable projects.  For ground source heat pumps only the difference in electricity consumption between a GSHP and an air-to-air heat pump that meets current Federal energy efficiency standards is considered renewable energy.  Agencies may use their own analyses of a GSHP project or estimate the savings based on 553 kWh/ton (1.887 million Btu/ton).  This estimate is based on modeling and analysis of a typical commercial building in multiple climate zones, weighted to account for population in climate zones.</t>
        </r>
      </text>
    </comment>
    <comment ref="A160" authorId="0">
      <text>
        <r>
          <rPr>
            <sz val="8"/>
            <rFont val="Tahoma"/>
            <family val="2"/>
          </rPr>
          <t>For other renewable energy that does not fit any category, fill in the type, units used, annual consumption and cost, and include any additional information in your narrative submission.  For example, mechanical energy or energy displaced by day lighting technology or passive solar design.</t>
        </r>
      </text>
    </comment>
    <comment ref="F40" authorId="1">
      <text>
        <r>
          <rPr>
            <sz val="8"/>
            <rFont val="Tahoma"/>
            <family val="2"/>
          </rPr>
          <t>These facilities are excluded from the reduction goal, so these calculations are provided for informational purposes only.</t>
        </r>
      </text>
    </comment>
    <comment ref="F41" authorId="1">
      <text>
        <r>
          <rPr>
            <sz val="8"/>
            <rFont val="Tahoma"/>
            <family val="2"/>
          </rPr>
          <t>These facilities are excluded from the reduction goal, so these calculations are provided for informational purposes only.</t>
        </r>
      </text>
    </comment>
    <comment ref="I28" authorId="1">
      <text>
        <r>
          <rPr>
            <sz val="8"/>
            <rFont val="Tahoma"/>
            <family val="2"/>
          </rPr>
          <t>Carbon Dioxide, Nitrous Oxide, and Methane in Metric Tons of Carbon Dioxide Equivalent</t>
        </r>
      </text>
    </comment>
    <comment ref="F161" authorId="3">
      <text>
        <r>
          <rPr>
            <sz val="8"/>
            <rFont val="Tahoma"/>
            <family val="2"/>
          </rPr>
          <t>Must be equal to or less than annual energy produced.  If this cell shows an error review entries for new renewable energy for column F.</t>
        </r>
        <r>
          <rPr>
            <sz val="8"/>
            <rFont val="Tahoma"/>
            <family val="2"/>
          </rPr>
          <t xml:space="preserve">
</t>
        </r>
      </text>
    </comment>
    <comment ref="G185" authorId="1">
      <text>
        <r>
          <rPr>
            <sz val="8"/>
            <rFont val="Tahoma"/>
            <family val="2"/>
          </rPr>
          <t>May contribute toward 1.5% new source requirement, but not overall 3% goal.</t>
        </r>
      </text>
    </comment>
    <comment ref="B93" authorId="0">
      <text>
        <r>
          <rPr>
            <sz val="8"/>
            <rFont val="Tahoma"/>
            <family val="2"/>
          </rPr>
          <t>Gasoline Equivalent Gallons</t>
        </r>
      </text>
    </comment>
    <comment ref="B94" authorId="0">
      <text>
        <r>
          <rPr>
            <sz val="8"/>
            <rFont val="Tahoma"/>
            <family val="2"/>
          </rPr>
          <t>Gasoline Equivalent Gallons</t>
        </r>
      </text>
    </comment>
    <comment ref="B95" authorId="0">
      <text>
        <r>
          <rPr>
            <sz val="8"/>
            <rFont val="Tahoma"/>
            <family val="2"/>
          </rPr>
          <t>Gasoline Equivalent Gallons</t>
        </r>
      </text>
    </comment>
    <comment ref="B96" authorId="0">
      <text>
        <r>
          <rPr>
            <sz val="8"/>
            <rFont val="Tahoma"/>
            <family val="2"/>
          </rPr>
          <t>Gasoline Equivalent Gallons</t>
        </r>
      </text>
    </comment>
    <comment ref="B97" authorId="0">
      <text>
        <r>
          <rPr>
            <sz val="8"/>
            <rFont val="Tahoma"/>
            <family val="2"/>
          </rPr>
          <t>Gasoline Equivalent Gallons</t>
        </r>
      </text>
    </comment>
    <comment ref="B98" authorId="0">
      <text>
        <r>
          <rPr>
            <sz val="8"/>
            <rFont val="Tahoma"/>
            <family val="2"/>
          </rPr>
          <t>Gasoline Equivalent Gallons</t>
        </r>
      </text>
    </comment>
    <comment ref="B99" authorId="0">
      <text>
        <r>
          <rPr>
            <sz val="8"/>
            <rFont val="Tahoma"/>
            <family val="2"/>
          </rPr>
          <t>Gasoline Equivalent Gallons</t>
        </r>
      </text>
    </comment>
    <comment ref="B100" authorId="0">
      <text>
        <r>
          <rPr>
            <sz val="8"/>
            <rFont val="Tahoma"/>
            <family val="2"/>
          </rPr>
          <t>Gasoline Equivalent Gallons</t>
        </r>
      </text>
    </comment>
    <comment ref="B101" authorId="0">
      <text>
        <r>
          <rPr>
            <sz val="8"/>
            <rFont val="Tahoma"/>
            <family val="2"/>
          </rPr>
          <t>Gasoline Equivalent Gallons</t>
        </r>
      </text>
    </comment>
    <comment ref="B102" authorId="0">
      <text>
        <r>
          <rPr>
            <sz val="8"/>
            <rFont val="Tahoma"/>
            <family val="2"/>
          </rPr>
          <t>Gasoline Equivalent Gallons</t>
        </r>
      </text>
    </comment>
    <comment ref="F175" authorId="3">
      <text>
        <r>
          <rPr>
            <u val="single"/>
            <sz val="8"/>
            <rFont val="Tahoma"/>
            <family val="2"/>
          </rPr>
          <t>Note:</t>
        </r>
        <r>
          <rPr>
            <sz val="8"/>
            <rFont val="Tahoma"/>
            <family val="2"/>
          </rPr>
          <t xml:space="preserve"> Renewable energy purchased from projects located on Federal or Indian land account as double credit towards to renewable electric goal.</t>
        </r>
        <r>
          <rPr>
            <sz val="8"/>
            <rFont val="Tahoma"/>
            <family val="2"/>
          </rPr>
          <t xml:space="preserve">
</t>
        </r>
      </text>
    </comment>
    <comment ref="F201" authorId="3">
      <text>
        <r>
          <rPr>
            <u val="single"/>
            <sz val="8"/>
            <rFont val="Tahoma"/>
            <family val="2"/>
          </rPr>
          <t>Note:</t>
        </r>
        <r>
          <rPr>
            <sz val="8"/>
            <rFont val="Tahoma"/>
            <family val="2"/>
          </rPr>
          <t xml:space="preserve"> Renewable energy purchased from projects located on Federal or Indian land account as double credit towards to renewable electric goal.</t>
        </r>
        <r>
          <rPr>
            <sz val="8"/>
            <rFont val="Tahoma"/>
            <family val="2"/>
          </rPr>
          <t xml:space="preserve">
</t>
        </r>
      </text>
    </comment>
  </commentList>
</comments>
</file>

<file path=xl/comments4.xml><?xml version="1.0" encoding="utf-8"?>
<comments xmlns="http://schemas.openxmlformats.org/spreadsheetml/2006/main">
  <authors>
    <author>Soudeh Motamedi</author>
    <author>SMotamedi</author>
  </authors>
  <commentList>
    <comment ref="E9" authorId="0">
      <text>
        <r>
          <rPr>
            <sz val="8"/>
            <rFont val="Tahoma"/>
            <family val="2"/>
          </rPr>
          <t xml:space="preserve">Enter in thousands of square feet the facility area covered by the comprehensive evaluation.  For additional information on evaluations refer to </t>
        </r>
        <r>
          <rPr>
            <i/>
            <sz val="8"/>
            <rFont val="Tahoma"/>
            <family val="2"/>
          </rPr>
          <t xml:space="preserve">Facility Energy Management Guidelines and Criteria for Energy and Water Evaluations in Covered Facilities </t>
        </r>
        <r>
          <rPr>
            <sz val="8"/>
            <rFont val="Tahoma"/>
            <family val="2"/>
          </rPr>
          <t>(November 25, 2008), section IV-Energy and Water Evaluations (pages 7 thru 11).</t>
        </r>
        <r>
          <rPr>
            <sz val="8"/>
            <rFont val="Tahoma"/>
            <family val="2"/>
          </rPr>
          <t xml:space="preserve">
</t>
        </r>
      </text>
    </comment>
    <comment ref="D9" authorId="0">
      <text>
        <r>
          <rPr>
            <sz val="8"/>
            <rFont val="Tahoma"/>
            <family val="2"/>
          </rPr>
          <t xml:space="preserve">Square footage and energy consumption of all covered facilities at a site -- pre-populated with 100% of a site's gross square footage and energy consumption based on FY 2008 data.  It is recommended that sites include all buildings in their covered facility inventories for ease of reporting and compliance.  However, if a site chooses to designate certain facilities as ‘non-covered,’ sites may adjust their gross square footage and energy consumption to reflect the covered total, but should provide lists of both the covered and ‘non-covered’ facilities with their associated energy consumption to FEMP for documentation.  Note that total energy consumption for facilities designated as ‘non-covered’ should not exceed 25 percent of the site’s energy consumption. </t>
        </r>
      </text>
    </comment>
    <comment ref="K9" authorId="1">
      <text>
        <r>
          <rPr>
            <u val="single"/>
            <sz val="8"/>
            <rFont val="Tahoma"/>
            <family val="2"/>
          </rPr>
          <t>Additional Energy Manager (Optional)</t>
        </r>
        <r>
          <rPr>
            <sz val="8"/>
            <rFont val="Tahoma"/>
            <family val="2"/>
          </rPr>
          <t xml:space="preserve">
Formatting Convention:
DOE-XX-00002
• XX represents the site’s program
• 0000 represents the site's EMS4 number 
• 2 represents the additional energy manager</t>
        </r>
      </text>
    </comment>
    <comment ref="K10" authorId="1">
      <text>
        <r>
          <rPr>
            <u val="single"/>
            <sz val="8"/>
            <rFont val="Tahoma"/>
            <family val="2"/>
          </rPr>
          <t>Optional:</t>
        </r>
        <r>
          <rPr>
            <sz val="8"/>
            <rFont val="Tahoma"/>
            <family val="2"/>
          </rPr>
          <t xml:space="preserve"> In parentheses identify whether the energy manager is a Fed or a Contractor.</t>
        </r>
      </text>
    </comment>
    <comment ref="I10" authorId="1">
      <text>
        <r>
          <rPr>
            <u val="single"/>
            <sz val="8"/>
            <rFont val="Tahoma"/>
            <family val="2"/>
          </rPr>
          <t>Optional:</t>
        </r>
        <r>
          <rPr>
            <sz val="8"/>
            <rFont val="Tahoma"/>
            <family val="2"/>
          </rPr>
          <t xml:space="preserve"> In parentheses identify whether the energy manager is a Fed or a Contractor.</t>
        </r>
      </text>
    </comment>
    <comment ref="G10" authorId="1">
      <text>
        <r>
          <rPr>
            <u val="single"/>
            <sz val="8"/>
            <rFont val="Tahoma"/>
            <family val="2"/>
          </rPr>
          <t>Optional:</t>
        </r>
        <r>
          <rPr>
            <sz val="8"/>
            <rFont val="Tahoma"/>
            <family val="2"/>
          </rPr>
          <t xml:space="preserve"> In parentheses identify whether the energy manager is a Fed or a Contractor.</t>
        </r>
      </text>
    </comment>
    <comment ref="I9" authorId="1">
      <text>
        <r>
          <rPr>
            <u val="single"/>
            <sz val="8"/>
            <rFont val="Tahoma"/>
            <family val="2"/>
          </rPr>
          <t>Additional Energy Manager (Optional)</t>
        </r>
        <r>
          <rPr>
            <sz val="8"/>
            <rFont val="Tahoma"/>
            <family val="2"/>
          </rPr>
          <t xml:space="preserve">
Formatting Convention:
DOE-XX-00002
• XX represents the site’s program
• 0000 represents the site's EMS4 number 
• 2 represents the additional energy manager</t>
        </r>
      </text>
    </comment>
    <comment ref="G9" authorId="1">
      <text>
        <r>
          <rPr>
            <u val="single"/>
            <sz val="8"/>
            <rFont val="Tahoma"/>
            <family val="2"/>
          </rPr>
          <t>Primary Energy Manager</t>
        </r>
        <r>
          <rPr>
            <sz val="8"/>
            <rFont val="Tahoma"/>
            <family val="2"/>
          </rPr>
          <t xml:space="preserve">
Formatting Convention:
DOE-XX-00001
• XX represents the site’s program
• 0000 represents the site's EMS4 number 
• 1 represents the primary energy manager</t>
        </r>
      </text>
    </comment>
    <comment ref="F15" authorId="1">
      <text>
        <r>
          <rPr>
            <sz val="8"/>
            <rFont val="Tahoma"/>
            <family val="2"/>
          </rPr>
          <t>Provide the anticipated or actual completion year for the proposed conservation measure(s).  If a measure listed in last year's Executable Plan was completed this year and is currently in operation, enter the year of completion and ensure that the status of the project is listed as “Operational.”</t>
        </r>
        <r>
          <rPr>
            <sz val="8"/>
            <rFont val="Tahoma"/>
            <family val="0"/>
          </rPr>
          <t xml:space="preserve">
</t>
        </r>
      </text>
    </comment>
    <comment ref="G15" authorId="1">
      <text>
        <r>
          <rPr>
            <sz val="8"/>
            <rFont val="Tahoma"/>
            <family val="0"/>
          </rPr>
          <t>Enter in whole dollars (not thousands or millions) the estimated cost for implementing the conservation measure(s).  The implementation cost should not include the cost of financing the projects over time if using an energy savings performance contract or utility energy service contract.</t>
        </r>
      </text>
    </comment>
    <comment ref="H15" authorId="1">
      <text>
        <r>
          <rPr>
            <sz val="8"/>
            <rFont val="Tahoma"/>
            <family val="2"/>
          </rPr>
          <t xml:space="preserve"> Enter in millions of site-delivered Btu the estimated annual energy savings expected from the energy conservation measure(s).</t>
        </r>
        <r>
          <rPr>
            <sz val="8"/>
            <rFont val="Tahoma"/>
            <family val="0"/>
          </rPr>
          <t xml:space="preserve">
</t>
        </r>
      </text>
    </comment>
    <comment ref="I15" authorId="1">
      <text>
        <r>
          <rPr>
            <sz val="8"/>
            <rFont val="Tahoma"/>
            <family val="2"/>
          </rPr>
          <t>Enter in whole dollars (not thousands or millions) the estimated annual energy cost savings expected from the energy conservation measure(s).</t>
        </r>
        <r>
          <rPr>
            <sz val="8"/>
            <rFont val="Tahoma"/>
            <family val="0"/>
          </rPr>
          <t xml:space="preserve">
</t>
        </r>
      </text>
    </comment>
    <comment ref="J15" authorId="1">
      <text>
        <r>
          <rPr>
            <sz val="8"/>
            <rFont val="Tahoma"/>
            <family val="2"/>
          </rPr>
          <t>Enter in thousands of gallons the estimated annual water savings expected from the water conservation measure(s).</t>
        </r>
        <r>
          <rPr>
            <sz val="8"/>
            <rFont val="Tahoma"/>
            <family val="0"/>
          </rPr>
          <t xml:space="preserve">
</t>
        </r>
      </text>
    </comment>
    <comment ref="K15" authorId="1">
      <text>
        <r>
          <rPr>
            <sz val="8"/>
            <rFont val="Tahoma"/>
            <family val="2"/>
          </rPr>
          <t>Enter in whole dollars (not thousands or millions) the estimated annual water cost savings expected from the water conservation measure(s).</t>
        </r>
        <r>
          <rPr>
            <sz val="8"/>
            <rFont val="Tahoma"/>
            <family val="0"/>
          </rPr>
          <t xml:space="preserve">
</t>
        </r>
      </text>
    </comment>
    <comment ref="L15" authorId="1">
      <text>
        <r>
          <rPr>
            <u val="single"/>
            <sz val="8"/>
            <rFont val="Tahoma"/>
            <family val="2"/>
          </rPr>
          <t>Formula:</t>
        </r>
        <r>
          <rPr>
            <sz val="8"/>
            <rFont val="Tahoma"/>
            <family val="2"/>
          </rPr>
          <t xml:space="preserve"> Estimated total annual cost savings = estimated annual energy cost savings + estimated annual water use and disposal (sewer) cost savings.</t>
        </r>
      </text>
    </comment>
    <comment ref="M15" authorId="1">
      <text>
        <r>
          <rPr>
            <sz val="8"/>
            <rFont val="Tahoma"/>
            <family val="2"/>
          </rPr>
          <t>Enter in kilowatt hours the estimated annual renewable electric energy to be consumed from the renewable energy system(s).</t>
        </r>
      </text>
    </comment>
    <comment ref="N15" authorId="1">
      <text>
        <r>
          <rPr>
            <sz val="8"/>
            <rFont val="Tahoma"/>
            <family val="2"/>
          </rPr>
          <t>Enter in kilowatt hours the estimated annual renewable electric output expected from the renewable energy system(s).</t>
        </r>
        <r>
          <rPr>
            <sz val="8"/>
            <rFont val="Tahoma"/>
            <family val="0"/>
          </rPr>
          <t xml:space="preserve">
</t>
        </r>
      </text>
    </comment>
    <comment ref="O15" authorId="1">
      <text>
        <r>
          <rPr>
            <sz val="8"/>
            <rFont val="Tahoma"/>
            <family val="2"/>
          </rPr>
          <t>Enter in millions of Btu the estimated annual renewable thermal energy to be consumed from the renewable energy system(s).</t>
        </r>
        <r>
          <rPr>
            <sz val="8"/>
            <rFont val="Tahoma"/>
            <family val="0"/>
          </rPr>
          <t xml:space="preserve">
</t>
        </r>
      </text>
    </comment>
    <comment ref="P15" authorId="1">
      <text>
        <r>
          <rPr>
            <sz val="8"/>
            <rFont val="Tahoma"/>
            <family val="2"/>
          </rPr>
          <t>Enter in millions of Btu the estimated annual renewable thermal output expected from the renewable energy system(s).</t>
        </r>
        <r>
          <rPr>
            <sz val="8"/>
            <rFont val="Tahoma"/>
            <family val="0"/>
          </rPr>
          <t xml:space="preserve">
</t>
        </r>
      </text>
    </comment>
    <comment ref="Q15" authorId="1">
      <text>
        <r>
          <rPr>
            <sz val="8"/>
            <rFont val="Tahoma"/>
            <family val="2"/>
          </rPr>
          <t>Provide any additional pertinent information of the measure(s) not captured in prior columns.</t>
        </r>
        <r>
          <rPr>
            <sz val="8"/>
            <rFont val="Tahoma"/>
            <family val="0"/>
          </rPr>
          <t xml:space="preserve">
</t>
        </r>
      </text>
    </comment>
    <comment ref="A15" authorId="0">
      <text>
        <r>
          <rPr>
            <sz val="8"/>
            <rFont val="Tahoma"/>
            <family val="2"/>
          </rPr>
          <t>Select the most appropriate status for each measure from the drop-down list.  Select “Cancelled” for measures which the site is not moving forward with and provide a short reason in the “Additional Information” column; do not delete the measure.  This is a running list of measures; therefore, over time as projects are implemented and become operational their status should be updated and changed to “Operational.”  Measures with a status of “Identified” or “Proposed” will be considered currently unfunded, while measures with a status of “Awarded/Approved” or “Operational” will be considered as funded.  Funded is defined for this purpose as having money readily available at the site to begin implementation of the measure. 
• Identified: potential conservation measure(s) identified though an audit, evaluation, or by site energy manager(s) for which estimates are very rough and a formal proposal for the implementation of the measure has not been put forward.
• Proposed: a formal proposal for the implementation of the measure has been put forward with funding in the process of being approved or awarded.
• Awarded/Approved: contract awarded/funding approved and/or construction has begun.
• Operational: construction complete and system is operating
• Cancelled: project terminated or dropped</t>
        </r>
      </text>
    </comment>
    <comment ref="B15" authorId="0">
      <text>
        <r>
          <rPr>
            <sz val="8"/>
            <rFont val="Tahoma"/>
            <family val="2"/>
          </rPr>
          <t>If applicable, provide a project number for each measure.  For ease of reference, sites are recommended to assign the same project number as the one used for a site’s internal tracking.</t>
        </r>
        <r>
          <rPr>
            <sz val="8"/>
            <rFont val="Tahoma"/>
            <family val="0"/>
          </rPr>
          <t xml:space="preserve">
</t>
        </r>
      </text>
    </comment>
    <comment ref="C15" authorId="0">
      <text>
        <r>
          <rPr>
            <sz val="8"/>
            <rFont val="Tahoma"/>
            <family val="2"/>
          </rPr>
          <t>Select a description that best describes the conservation measure(s) type from the drop-down list.  Do not include RECs in this table.</t>
        </r>
      </text>
    </comment>
    <comment ref="D15" authorId="0">
      <text>
        <r>
          <rPr>
            <sz val="8"/>
            <rFont val="Tahoma"/>
            <family val="2"/>
          </rPr>
          <t xml:space="preserve">Provide a short describe of the conservation measure.  The description should include details not captured by the project “type.” </t>
        </r>
        <r>
          <rPr>
            <sz val="8"/>
            <rFont val="Tahoma"/>
            <family val="0"/>
          </rPr>
          <t xml:space="preserve">
</t>
        </r>
      </text>
    </comment>
    <comment ref="E15" authorId="0">
      <text>
        <r>
          <rPr>
            <sz val="8"/>
            <rFont val="Tahoma"/>
            <family val="2"/>
          </rPr>
          <t xml:space="preserve">Select an appropriate funding source from the drop-down list.  If a source has not yet been identified select “NA.”  This applies both to projects that are currently funded and to those projects where money is not yet readily available, but funding is being pursued.  Per DOE Order 430.2B, ensure private party financing is prioritized.
• ARRA: American Recovery and Reinvestment Act of 2009
• Budget (Request): funding sources consistent with internal budget request processes
• ESPC: energy savings performance contract
• EUL: enhanced use lease
• Indirect: funding sources such as Overhead
• Other: other funding sources (provide a short description in the “Additional Information”) 
• PPA: power purchase agreement
• UESC: utility energy savings contract
• NA: no defined funding path yet
</t>
        </r>
        <r>
          <rPr>
            <sz val="8"/>
            <rFont val="Tahoma"/>
            <family val="0"/>
          </rPr>
          <t xml:space="preserve">
</t>
        </r>
      </text>
    </comment>
  </commentList>
</comments>
</file>

<file path=xl/comments5.xml><?xml version="1.0" encoding="utf-8"?>
<comments xmlns="http://schemas.openxmlformats.org/spreadsheetml/2006/main">
  <authors>
    <author>ctremper</author>
  </authors>
  <commentList>
    <comment ref="D7" authorId="0">
      <text>
        <r>
          <rPr>
            <sz val="8"/>
            <rFont val="Tahoma"/>
            <family val="2"/>
          </rPr>
          <t>(Generally kWh of Grid Electricity Displaced Times 8,438 Btu/kWh)</t>
        </r>
      </text>
    </comment>
    <comment ref="D15" authorId="0">
      <text>
        <r>
          <rPr>
            <sz val="8"/>
            <rFont val="Tahoma"/>
            <family val="2"/>
          </rPr>
          <t>(Generally kWh of Grid Electricity Displaced Times 8,438 Btu/kWh)</t>
        </r>
      </text>
    </comment>
  </commentList>
</comments>
</file>

<file path=xl/comments6.xml><?xml version="1.0" encoding="utf-8"?>
<comments xmlns="http://schemas.openxmlformats.org/spreadsheetml/2006/main">
  <authors>
    <author>mgowda</author>
    <author>SMotamedi</author>
  </authors>
  <commentList>
    <comment ref="Z5" authorId="0">
      <text>
        <r>
          <rPr>
            <sz val="8"/>
            <rFont val="Tahoma"/>
            <family val="2"/>
          </rPr>
          <t xml:space="preserve">Select Yes from the drop-down list if RECs associated with the system (s) or renewable purchase are retained by the site or DOE.  Select No from the drop-down list if the RECs are not retained by the site or DOE.  Assume the RECs are retained unless you are aware that they have actively been sold. </t>
        </r>
      </text>
    </comment>
    <comment ref="AA5" authorId="0">
      <text>
        <r>
          <rPr>
            <sz val="8"/>
            <rFont val="Tahoma"/>
            <family val="2"/>
          </rPr>
          <t>Enter the system’s estimated cost in whole dollars (not thousands or millions).</t>
        </r>
      </text>
    </comment>
    <comment ref="R5" authorId="1">
      <text>
        <r>
          <rPr>
            <sz val="8"/>
            <rFont val="Tahoma"/>
            <family val="2"/>
          </rPr>
          <t>Select a renewable energy system type from the drop-down list or if the system is not listed, provide a short description or title of the currently operating on-site renewable energy generation system.</t>
        </r>
      </text>
    </comment>
    <comment ref="T5" authorId="1">
      <text>
        <r>
          <rPr>
            <sz val="8"/>
            <rFont val="Tahoma"/>
            <family val="2"/>
          </rPr>
          <t>Provide the year each system was installed, even if they were installed prior to January 1, 1999.</t>
        </r>
      </text>
    </comment>
    <comment ref="U5" authorId="1">
      <text>
        <r>
          <rPr>
            <sz val="8"/>
            <rFont val="Tahoma"/>
            <family val="2"/>
          </rPr>
          <t>Select Yes or No from the drop-down list depending on if the system(s) is located on Federal or Indian Land.  Electric renewable energy produced and consumed on Federal or Indian land qualifies for a bonus.</t>
        </r>
        <r>
          <rPr>
            <sz val="8"/>
            <rFont val="Tahoma"/>
            <family val="2"/>
          </rPr>
          <t xml:space="preserve">
</t>
        </r>
      </text>
    </comment>
    <comment ref="V5" authorId="1">
      <text>
        <r>
          <rPr>
            <sz val="8"/>
            <rFont val="Tahoma"/>
            <family val="2"/>
          </rPr>
          <t>Enter in megawatt hours the amount of electricity consumed from each renewable energy.</t>
        </r>
        <r>
          <rPr>
            <sz val="8"/>
            <rFont val="Tahoma"/>
            <family val="2"/>
          </rPr>
          <t xml:space="preserve">
</t>
        </r>
      </text>
    </comment>
    <comment ref="X5" authorId="1">
      <text>
        <r>
          <rPr>
            <sz val="8"/>
            <rFont val="Tahoma"/>
            <family val="2"/>
          </rPr>
          <t>Enter in millions of Btu the amount of thermal energy consumed from each renewable energy system.</t>
        </r>
        <r>
          <rPr>
            <sz val="8"/>
            <rFont val="Tahoma"/>
            <family val="2"/>
          </rPr>
          <t xml:space="preserve">
</t>
        </r>
      </text>
    </comment>
    <comment ref="S5" authorId="1">
      <text>
        <r>
          <rPr>
            <sz val="8"/>
            <rFont val="Tahoma"/>
            <family val="2"/>
          </rPr>
          <t>Provide a description of where the system is located, such as the building name or number.</t>
        </r>
      </text>
    </comment>
    <comment ref="W5" authorId="1">
      <text>
        <r>
          <rPr>
            <sz val="8"/>
            <rFont val="Tahoma"/>
            <family val="2"/>
          </rPr>
          <t>Enter in megawatt hours the amount of renewable electricity output from each renewable energy system.</t>
        </r>
        <r>
          <rPr>
            <sz val="8"/>
            <rFont val="Tahoma"/>
            <family val="2"/>
          </rPr>
          <t xml:space="preserve">
</t>
        </r>
      </text>
    </comment>
    <comment ref="Y5" authorId="1">
      <text>
        <r>
          <rPr>
            <sz val="8"/>
            <rFont val="Tahoma"/>
            <family val="2"/>
          </rPr>
          <t>Enter in millions of Btu the amount of renewable thermal energy output from each renewable energy system.</t>
        </r>
      </text>
    </comment>
  </commentList>
</comments>
</file>

<file path=xl/comments7.xml><?xml version="1.0" encoding="utf-8"?>
<comments xmlns="http://schemas.openxmlformats.org/spreadsheetml/2006/main">
  <authors>
    <author>SMotamedi</author>
  </authors>
  <commentList>
    <comment ref="A5" authorId="0">
      <text>
        <r>
          <rPr>
            <sz val="8"/>
            <rFont val="Tahoma"/>
            <family val="2"/>
          </rPr>
          <t>Select a description that best describes your site’s transportation and fleet strategy from the drop-down list.  If none of the descriptions are adequate or you'd like to include more details, then type in a description.</t>
        </r>
      </text>
    </comment>
    <comment ref="B5" authorId="0">
      <text>
        <r>
          <rPr>
            <sz val="8"/>
            <rFont val="Tahoma"/>
            <family val="2"/>
          </rPr>
          <t>Select a vehicle type for each fleet strategy, as applicable, from the drop-down list.  If none of the vehicle types are adequate, then type in a description.</t>
        </r>
        <r>
          <rPr>
            <sz val="8"/>
            <rFont val="Tahoma"/>
            <family val="2"/>
          </rPr>
          <t xml:space="preserve">
</t>
        </r>
      </text>
    </comment>
    <comment ref="C5" authorId="0">
      <text>
        <r>
          <rPr>
            <sz val="8"/>
            <rFont val="Tahoma"/>
            <family val="2"/>
          </rPr>
          <t>Select a vehicle size for each fleet strategy, as applicable, from the drop-down list.  If none of the vehicle sizes are adequate, then type in a description.</t>
        </r>
        <r>
          <rPr>
            <sz val="8"/>
            <rFont val="Tahoma"/>
            <family val="2"/>
          </rPr>
          <t xml:space="preserve">
</t>
        </r>
      </text>
    </comment>
    <comment ref="D5" authorId="0">
      <text>
        <r>
          <rPr>
            <sz val="8"/>
            <rFont val="Tahoma"/>
            <family val="2"/>
          </rPr>
          <t>Select a fuel type for each fleet strategy, as applicable, from the drop-down list.  If none of the fuel types are adequate, then type in a description.</t>
        </r>
        <r>
          <rPr>
            <sz val="8"/>
            <rFont val="Tahoma"/>
            <family val="2"/>
          </rPr>
          <t xml:space="preserve">
</t>
        </r>
      </text>
    </comment>
    <comment ref="F5" authorId="0">
      <text>
        <r>
          <rPr>
            <sz val="8"/>
            <rFont val="Tahoma"/>
            <family val="2"/>
          </rPr>
          <t>Provide the anticipated implementation year of the proposed fleet strategy.</t>
        </r>
      </text>
    </comment>
    <comment ref="G5" authorId="0">
      <text>
        <r>
          <rPr>
            <sz val="8"/>
            <rFont val="Tahoma"/>
            <family val="2"/>
          </rPr>
          <t>Enter in whole dollars (not thousands or millions) the estimated cost for implementing the fleet strategy.</t>
        </r>
      </text>
    </comment>
    <comment ref="H5" authorId="0">
      <text>
        <r>
          <rPr>
            <sz val="8"/>
            <rFont val="Tahoma"/>
            <family val="2"/>
          </rPr>
          <t>Enter in whole gasoline gallon equivalents (not thousands or millions) the estimated annual petroleum savings expected from the fleet strategy.</t>
        </r>
      </text>
    </comment>
    <comment ref="I5" authorId="0">
      <text>
        <r>
          <rPr>
            <sz val="8"/>
            <rFont val="Tahoma"/>
            <family val="2"/>
          </rPr>
          <t>Enter in whole gasoline gallon equivalents (not thousands or millions) the estimated annual alternative fuel consumption increase expected from the fleet strategy.</t>
        </r>
      </text>
    </comment>
    <comment ref="J5" authorId="0">
      <text>
        <r>
          <rPr>
            <sz val="8"/>
            <rFont val="Tahoma"/>
            <family val="2"/>
          </rPr>
          <t>Provide any additional pertinent information of the strategy not captured in prior columns.</t>
        </r>
        <r>
          <rPr>
            <sz val="8"/>
            <rFont val="Tahoma"/>
            <family val="2"/>
          </rPr>
          <t xml:space="preserve">
</t>
        </r>
      </text>
    </comment>
    <comment ref="E5" authorId="0">
      <text>
        <r>
          <rPr>
            <sz val="8"/>
            <rFont val="Tahoma"/>
            <family val="2"/>
          </rPr>
          <t>Select an appropriate funding source from the drop-down list.  If a source has not yet been identified select “NA.”  
• ARRA: American Recovery and Reinvestment Act of 2009
• Budget (Request): funding sources consistent with internal budget request processes
• Indirect: funding sources such as Overhead
• Other: other funding sources 
• NA: no defined funding path yet</t>
        </r>
      </text>
    </comment>
  </commentList>
</comments>
</file>

<file path=xl/comments8.xml><?xml version="1.0" encoding="utf-8"?>
<comments xmlns="http://schemas.openxmlformats.org/spreadsheetml/2006/main">
  <authors>
    <author>SMotamedi</author>
  </authors>
  <commentList>
    <comment ref="A6" authorId="0">
      <text>
        <r>
          <rPr>
            <sz val="8"/>
            <rFont val="Tahoma"/>
            <family val="2"/>
          </rPr>
          <t>Sites may optionally fill this field in with any internal tracking numbers they may use.</t>
        </r>
      </text>
    </comment>
    <comment ref="B6" authorId="0">
      <text>
        <r>
          <rPr>
            <sz val="8"/>
            <rFont val="Tahoma"/>
            <family val="2"/>
          </rPr>
          <t>Enter the name of the new construction building.</t>
        </r>
      </text>
    </comment>
    <comment ref="C6" authorId="0">
      <text>
        <r>
          <rPr>
            <sz val="8"/>
            <rFont val="Tahoma"/>
            <family val="2"/>
          </rPr>
          <t>Enter the anticipated footprint of the building once complete in thousands of square feet.</t>
        </r>
      </text>
    </comment>
    <comment ref="D6" authorId="0">
      <text>
        <r>
          <rPr>
            <sz val="8"/>
            <rFont val="Tahoma"/>
            <family val="2"/>
          </rPr>
          <t>Enter the estimated value of the new construction building in millions.  If it is over $5M and was CD-1 or lower on October 1, 2008, then the building is required to be LEED® Gold.</t>
        </r>
        <r>
          <rPr>
            <sz val="8"/>
            <rFont val="Tahoma"/>
            <family val="0"/>
          </rPr>
          <t xml:space="preserve">
</t>
        </r>
      </text>
    </comment>
    <comment ref="E6" authorId="0">
      <text>
        <r>
          <rPr>
            <sz val="8"/>
            <rFont val="Tahoma"/>
            <family val="2"/>
          </rPr>
          <t>The fiscal year at which the building will have or has completed CD-1 (i.e., has been given approval at the CD-2 decision point).  If the building project is over $5M and was CD-1 or lower on October 1, 2008, then the building is required to be LEED® Gold.</t>
        </r>
      </text>
    </comment>
    <comment ref="F6" authorId="0">
      <text>
        <r>
          <rPr>
            <sz val="8"/>
            <rFont val="Tahoma"/>
            <family val="2"/>
          </rPr>
          <t>Enter the year when construction has been or will be completed.</t>
        </r>
      </text>
    </comment>
    <comment ref="G6" authorId="0">
      <text>
        <r>
          <rPr>
            <sz val="8"/>
            <rFont val="Tahoma"/>
            <family val="2"/>
          </rPr>
          <t>Select the level at which the new construction building is expected to attain.</t>
        </r>
        <r>
          <rPr>
            <sz val="8"/>
            <rFont val="Tahoma"/>
            <family val="0"/>
          </rPr>
          <t xml:space="preserve">
</t>
        </r>
      </text>
    </comment>
    <comment ref="H6" authorId="0">
      <text>
        <r>
          <rPr>
            <sz val="8"/>
            <rFont val="Tahoma"/>
            <family val="2"/>
          </rPr>
          <t>Enter the anticipated percent below ASHRAE Std 90.1--2004.</t>
        </r>
      </text>
    </comment>
    <comment ref="J6" authorId="0">
      <text>
        <r>
          <rPr>
            <sz val="8"/>
            <rFont val="Tahoma"/>
            <family val="2"/>
          </rPr>
          <t>For new building construction projects that were completed only:  enter the percent below ASHRAE Std 90.1--2004 that was actually realized.</t>
        </r>
        <r>
          <rPr>
            <sz val="8"/>
            <rFont val="Tahoma"/>
            <family val="0"/>
          </rPr>
          <t xml:space="preserve">
</t>
        </r>
      </text>
    </comment>
  </commentList>
</comments>
</file>

<file path=xl/comments9.xml><?xml version="1.0" encoding="utf-8"?>
<comments xmlns="http://schemas.openxmlformats.org/spreadsheetml/2006/main">
  <authors>
    <author>DOE EE</author>
    <author>David Shen</author>
    <author>SMotamedi</author>
  </authors>
  <commentList>
    <comment ref="A8" authorId="0">
      <text>
        <r>
          <rPr>
            <sz val="8"/>
            <rFont val="Tahoma"/>
            <family val="2"/>
          </rPr>
          <t>Enter the name of the building as reported in FIMS.  If it is a LEED®-NC building being listed to take credit that has yet to be built but will be completed by 2015, then list the anticipated FIMS name.</t>
        </r>
      </text>
    </comment>
    <comment ref="B8" authorId="0">
      <text>
        <r>
          <rPr>
            <sz val="8"/>
            <rFont val="Tahoma"/>
            <family val="2"/>
          </rPr>
          <t>Enter the actual or anticipated total square footage of the building.</t>
        </r>
      </text>
    </comment>
    <comment ref="C8" authorId="0">
      <text>
        <r>
          <rPr>
            <sz val="8"/>
            <rFont val="Tahoma"/>
            <family val="2"/>
          </rPr>
          <t>Select which one of two compliance paths available will be used to get credit towards the 15%.</t>
        </r>
      </text>
    </comment>
    <comment ref="D8" authorId="0">
      <text>
        <r>
          <rPr>
            <sz val="8"/>
            <rFont val="Tahoma"/>
            <family val="2"/>
          </rPr>
          <t>Enter date assessed using sustainable building assessment tool</t>
        </r>
      </text>
    </comment>
    <comment ref="E8" authorId="0">
      <text>
        <r>
          <rPr>
            <sz val="8"/>
            <rFont val="Tahoma"/>
            <family val="2"/>
          </rPr>
          <t>Choose "Met" if the building currently meets this Guiding Principle based on results from the sustainable building assessment tool, or "Not met" if not.</t>
        </r>
      </text>
    </comment>
    <comment ref="F8" authorId="0">
      <text>
        <r>
          <rPr>
            <sz val="8"/>
            <rFont val="Tahoma"/>
            <family val="2"/>
          </rPr>
          <t>Choose "Met" if the building currently meets this Guiding Principle based on results from the sustainable building assessment tool, or "Not met" if not.</t>
        </r>
      </text>
    </comment>
    <comment ref="G8" authorId="0">
      <text>
        <r>
          <rPr>
            <sz val="8"/>
            <rFont val="Tahoma"/>
            <family val="2"/>
          </rPr>
          <t>Choose "Met" if the building currently meets this Guiding Principle based on results from the sustainable building assessment tool, or "Not met" if not.</t>
        </r>
      </text>
    </comment>
    <comment ref="H8" authorId="0">
      <text>
        <r>
          <rPr>
            <sz val="8"/>
            <rFont val="Tahoma"/>
            <family val="2"/>
          </rPr>
          <t>Choose "Met" if the building currently meets this Guiding Principle based on results from the sustainable building assessment tool, or "Not met" if not.</t>
        </r>
      </text>
    </comment>
    <comment ref="I8" authorId="0">
      <text>
        <r>
          <rPr>
            <sz val="8"/>
            <rFont val="Tahoma"/>
            <family val="2"/>
          </rPr>
          <t>Choose "Met" if the building currently meets this Guiding Principle based on results from the sustainable building assessment tool, or "Not met" if not.</t>
        </r>
      </text>
    </comment>
    <comment ref="J8" authorId="0">
      <text>
        <r>
          <rPr>
            <sz val="8"/>
            <rFont val="Tahoma"/>
            <family val="2"/>
          </rPr>
          <t>Enter month and year of actual or expected compliance with all five Guiding Principles.</t>
        </r>
      </text>
    </comment>
    <comment ref="K8" authorId="1">
      <text>
        <r>
          <rPr>
            <sz val="8"/>
            <rFont val="Tahoma"/>
            <family val="2"/>
          </rPr>
          <t>Input building's CD level on 10/1/08</t>
        </r>
      </text>
    </comment>
    <comment ref="L8" authorId="0">
      <text>
        <r>
          <rPr>
            <sz val="8"/>
            <rFont val="Tahoma"/>
            <family val="2"/>
          </rPr>
          <t>Enter Project Title as registered or will be registered in USGBC</t>
        </r>
      </text>
    </comment>
    <comment ref="M8" authorId="0">
      <text>
        <r>
          <rPr>
            <sz val="8"/>
            <rFont val="Tahoma"/>
            <family val="2"/>
          </rPr>
          <t>Enter planned or actual registration date with USGBC</t>
        </r>
      </text>
    </comment>
    <comment ref="N8" authorId="0">
      <text>
        <r>
          <rPr>
            <sz val="8"/>
            <rFont val="Tahoma"/>
            <family val="2"/>
          </rPr>
          <t>Enter actual or planned certification date from USGBC</t>
        </r>
      </text>
    </comment>
    <comment ref="O8" authorId="0">
      <text>
        <r>
          <rPr>
            <sz val="8"/>
            <rFont val="Tahoma"/>
            <family val="2"/>
          </rPr>
          <t>Enter planned or actual LEED EBOM certification level (Certified, Silver, Gold, Platinum)</t>
        </r>
      </text>
    </comment>
    <comment ref="P8" authorId="0">
      <text>
        <r>
          <rPr>
            <sz val="8"/>
            <rFont val="Tahoma"/>
            <family val="2"/>
          </rPr>
          <t>Indicate if LEED EB version is 2.2 or 3.0</t>
        </r>
      </text>
    </comment>
    <comment ref="Q8" authorId="0">
      <text>
        <r>
          <rPr>
            <sz val="8"/>
            <rFont val="Tahoma"/>
            <family val="2"/>
          </rPr>
          <t>If the building plans to be or already is certified under LEED-NC, enter the planned or actual LEED-NC certification level</t>
        </r>
      </text>
    </comment>
    <comment ref="R8" authorId="0">
      <text>
        <r>
          <rPr>
            <sz val="8"/>
            <rFont val="Tahoma"/>
            <family val="2"/>
          </rPr>
          <t>If the building plans to be or already is certified as LEED-NC, list the planned or actual month and year of certification</t>
        </r>
      </text>
    </comment>
    <comment ref="C4" authorId="2">
      <text>
        <r>
          <rPr>
            <sz val="8"/>
            <rFont val="Tahoma"/>
            <family val="2"/>
          </rPr>
          <t>Enter the anticipated FY 2015 footprint based off of your Ten-Year Site Plans.  This value should factor in new buildings and dispositioned buildings.  The existing buildings requirement will be 15% of this value.</t>
        </r>
      </text>
    </comment>
  </commentList>
</comments>
</file>

<file path=xl/sharedStrings.xml><?xml version="1.0" encoding="utf-8"?>
<sst xmlns="http://schemas.openxmlformats.org/spreadsheetml/2006/main" count="2591" uniqueCount="653">
  <si>
    <t>Percent of new building designs started since beginning of FY 2007 that are expected to be 30 percent more energy efficient than relevant code, where life-cycle cost effective:</t>
  </si>
  <si>
    <t>FY 2007 forward Goal Target</t>
  </si>
  <si>
    <t>Percent of new building designs started since beginning of FY 2007 that are 30 percent more energy efficient than relevant code, where life-cycle cost effective:</t>
  </si>
  <si>
    <t xml:space="preserve">Data Center Efficiency </t>
  </si>
  <si>
    <t>Phone:</t>
  </si>
  <si>
    <t>Prepared by:</t>
  </si>
  <si>
    <t>Date:</t>
  </si>
  <si>
    <t>Electricity</t>
  </si>
  <si>
    <t>Fuel Oil</t>
  </si>
  <si>
    <t>Natural Gas</t>
  </si>
  <si>
    <t>LPG/Propane</t>
  </si>
  <si>
    <t>Purch. Steam</t>
  </si>
  <si>
    <t>Other</t>
  </si>
  <si>
    <t>MWH</t>
  </si>
  <si>
    <t>S. Ton</t>
  </si>
  <si>
    <t>BBtu</t>
  </si>
  <si>
    <t>Annual Consumption</t>
  </si>
  <si>
    <t>Consumption Units</t>
  </si>
  <si>
    <t xml:space="preserve">Auto Gasoline </t>
  </si>
  <si>
    <t xml:space="preserve">Diesel-Distillate </t>
  </si>
  <si>
    <t xml:space="preserve">LPG/Propane </t>
  </si>
  <si>
    <t xml:space="preserve">Aviation Gasoline </t>
  </si>
  <si>
    <t xml:space="preserve">Jet Fuel </t>
  </si>
  <si>
    <t>Navy Special</t>
  </si>
  <si>
    <t xml:space="preserve">Other </t>
  </si>
  <si>
    <t>(Thou. $)</t>
  </si>
  <si>
    <t>Coal</t>
  </si>
  <si>
    <t>/kWh</t>
  </si>
  <si>
    <t>/gallon</t>
  </si>
  <si>
    <t>/Thou Cu Ft</t>
  </si>
  <si>
    <t>/S. Ton</t>
  </si>
  <si>
    <t>/MMBtu</t>
  </si>
  <si>
    <t>Unit Cost ($)</t>
  </si>
  <si>
    <t>Btu/GSF:</t>
  </si>
  <si>
    <t>Site-Delivered Btu (Billion)</t>
  </si>
  <si>
    <t>Est. Source Btu (Billion)</t>
  </si>
  <si>
    <t>Direct obligations for facility energy efficiency improvements, including facility surveys/audits</t>
  </si>
  <si>
    <t>Thou. Cubic Ft.</t>
  </si>
  <si>
    <t>Total Costs:</t>
  </si>
  <si>
    <t>Estimated annual savings anticipated from obligations</t>
  </si>
  <si>
    <t xml:space="preserve">Total payments made to all UESC contractors in fiscal year. </t>
  </si>
  <si>
    <t>Investment value of ESPC Task/Delivery Orders awarded in fiscal year.</t>
  </si>
  <si>
    <t>Amount privately financed under ESPC Task/Delivery Orders awarded in fiscal year.</t>
  </si>
  <si>
    <t>Investment value of UESC Task/Delivery Orders awarded in fiscal year.</t>
  </si>
  <si>
    <t>Amount privately financed under UESC Task/Delivery Orders awarded in fiscal year.</t>
  </si>
  <si>
    <t>Cumulative guaranteed cost savings of ESPCs awarded in fiscal year relative to the baseline spending.</t>
  </si>
  <si>
    <t>Cumulative cost savings of UESCs awarded in fiscal year relative to the baseline spending.</t>
  </si>
  <si>
    <t>Total contract award value of ESPCs awarded in fiscal year (sum of contractor payments for debt repayment, M&amp;V, and other negotiated performance period services).</t>
  </si>
  <si>
    <t>Total contract award value of UESCs awarded in fiscal year (sum of payments for debt repayment and other negotiated performance period services).</t>
  </si>
  <si>
    <t>Btu/GSF w/ RE Purchase Credit:</t>
  </si>
  <si>
    <t>Totals</t>
  </si>
  <si>
    <t>Annual Site Energy Increase with the Project</t>
  </si>
  <si>
    <t>Annual Source Energy Saved with the Project</t>
  </si>
  <si>
    <t>Project No. 1</t>
  </si>
  <si>
    <t>Project No. 2</t>
  </si>
  <si>
    <t>Project No. 3</t>
  </si>
  <si>
    <t>RE as a Percentage of Electricity Use</t>
  </si>
  <si>
    <t>EPACT Goal Subject Buildings</t>
  </si>
  <si>
    <t>Number of Projects</t>
  </si>
  <si>
    <t>Annual Energy Produced</t>
  </si>
  <si>
    <t>Components of Eligible RE Use</t>
  </si>
  <si>
    <t>Renewable Electricity Use  (MWH)</t>
  </si>
  <si>
    <t>Total Facility Electricity Use (MWH)</t>
  </si>
  <si>
    <t>All Renewable Energy Use  (Billion Btu)</t>
  </si>
  <si>
    <t>RE as a Percentage of Energy Use</t>
  </si>
  <si>
    <t>(Calculated from input above per FEMP Renewable Energy Guidance)</t>
  </si>
  <si>
    <t xml:space="preserve"> (Million Btu)</t>
  </si>
  <si>
    <t>Percent</t>
  </si>
  <si>
    <t>Btu/GSF w/ RE &amp; Source Btu Credit:</t>
  </si>
  <si>
    <t>Reduction in energy intensity in facilities subject to the EPACT and E.O. 13423 goals</t>
  </si>
  <si>
    <t>FY 2003 Btu/GSF</t>
  </si>
  <si>
    <t>Percentage</t>
  </si>
  <si>
    <t xml:space="preserve">Total payments made to all ESPC contractors in fiscal year. </t>
  </si>
  <si>
    <t>Goal Performance</t>
  </si>
  <si>
    <t>Energy Management Requirement</t>
  </si>
  <si>
    <t>Renewable Energy Requirement</t>
  </si>
  <si>
    <t>Water Intensity Reduction Goal</t>
  </si>
  <si>
    <t>Eligible renewable electricity use as a percentage of total electricity use</t>
  </si>
  <si>
    <t>Investments in Energy and Water Management</t>
  </si>
  <si>
    <t>Direct obligations for facility energy efficiency improvements</t>
  </si>
  <si>
    <t>Investment value of ESPC Task/Delivery Orders awarded in fiscal year</t>
  </si>
  <si>
    <t>Investment value of UESC Task/Delivery Orders awarded in fiscal year</t>
  </si>
  <si>
    <t>Investment Value 
(Thou. $)</t>
  </si>
  <si>
    <t>Total</t>
  </si>
  <si>
    <t>Sources of Investment</t>
  </si>
  <si>
    <t>Total Facility Electricity Use (Billion Btu)</t>
  </si>
  <si>
    <t>Amount Qualified for Goal</t>
  </si>
  <si>
    <t>Amount Produced or Used</t>
  </si>
  <si>
    <t>Bonus, Federal or Indian Land</t>
  </si>
  <si>
    <t>Standard Meters</t>
  </si>
  <si>
    <t>Advanced Metering Systems</t>
  </si>
  <si>
    <t>Appliance/Plug-load reductions</t>
  </si>
  <si>
    <t>Boiler Plant Improvements</t>
  </si>
  <si>
    <t>Building Automation Systems/EMCS</t>
  </si>
  <si>
    <t>Building Envelope Modifications</t>
  </si>
  <si>
    <t>Chiller Plant Improvements</t>
  </si>
  <si>
    <t>CW/HW/Steam Distribution Systems</t>
  </si>
  <si>
    <t xml:space="preserve">Energy/Utility Distribution Systems </t>
  </si>
  <si>
    <t>Lighting Improvements</t>
  </si>
  <si>
    <t>Rate Adjustments</t>
  </si>
  <si>
    <t>Refrigeration</t>
  </si>
  <si>
    <t>Water and Sewer Conservation Systems</t>
  </si>
  <si>
    <t>Covered Facility Characteristics</t>
  </si>
  <si>
    <t>Energy Manager(s) Information</t>
  </si>
  <si>
    <t>Program:</t>
  </si>
  <si>
    <t>Base</t>
  </si>
  <si>
    <t>Evaluated</t>
  </si>
  <si>
    <t>Unique Identifier:</t>
  </si>
  <si>
    <t>Site:</t>
  </si>
  <si>
    <t>Gross Square Footage (Thou.):</t>
  </si>
  <si>
    <t>Name:</t>
  </si>
  <si>
    <t>Annual Energy Use (Billion Btu):</t>
  </si>
  <si>
    <t>E-Mail:</t>
  </si>
  <si>
    <t>Advanced Meters</t>
  </si>
  <si>
    <t>Cumulative # 
of Buildings Metered</t>
  </si>
  <si>
    <t>Cumulative % of Electricity Metered</t>
  </si>
  <si>
    <t>Metering of Electricity Use</t>
  </si>
  <si>
    <t>FY 2012 Goal Target</t>
  </si>
  <si>
    <t>Maximum Extent Practicable</t>
  </si>
  <si>
    <t>E-85</t>
  </si>
  <si>
    <t>M-85</t>
  </si>
  <si>
    <t>LPG</t>
  </si>
  <si>
    <t>GEG</t>
  </si>
  <si>
    <t>Annual Cost (Actual $)</t>
  </si>
  <si>
    <t>Biodiesel</t>
  </si>
  <si>
    <t>Diesel</t>
  </si>
  <si>
    <t>Electric</t>
  </si>
  <si>
    <t>Gasoline</t>
  </si>
  <si>
    <t>Description</t>
  </si>
  <si>
    <t>Number of 
New Building 
Designs</t>
  </si>
  <si>
    <t>Percent of 
New Building 
Designs</t>
  </si>
  <si>
    <t>Federal Building 
Energy Efficiency Standards</t>
  </si>
  <si>
    <t>Building Name</t>
  </si>
  <si>
    <t>In terms of energy use, percentage below ANSI/ASHRAE/IESNA Standard 90.1--2004 achieved</t>
  </si>
  <si>
    <t>Adjustment to Annual  Site Energy</t>
  </si>
  <si>
    <t>Purch. Renew. Other</t>
  </si>
  <si>
    <t>Purch. Renew. Electric.</t>
  </si>
  <si>
    <t>Eligible Short-Term Purchase 
Goal Building EE Credit (BBtu):</t>
  </si>
  <si>
    <t>Eligible Long-Term Purchase
Goal Building EE Credit (BBtu):</t>
  </si>
  <si>
    <t>Total Goal Building EE Credit (BBtu):</t>
  </si>
  <si>
    <t>Eligible Short-Term Purchase 
Excluded Fac. EE Credit (BBtu):</t>
  </si>
  <si>
    <t>Eligible Long-Term Purchase
Excluded Fac. EE Credit (BBtu):</t>
  </si>
  <si>
    <t>Eligible Renewable Electricity Total</t>
  </si>
  <si>
    <t>New Renewable Electricity (without Bonus)</t>
  </si>
  <si>
    <t>Eligible Old Renewable Electricity</t>
  </si>
  <si>
    <t>Appropriate Buildings</t>
  </si>
  <si>
    <t># of Appropriate Buildings for Metering</t>
  </si>
  <si>
    <t>Cumulative % of Buildings Metered</t>
  </si>
  <si>
    <t>Cumulative % of Appropriate Buildings Metered</t>
  </si>
  <si>
    <t>Department of Energy</t>
  </si>
  <si>
    <t>Year Installed</t>
  </si>
  <si>
    <t>REC Retention</t>
  </si>
  <si>
    <t>Fuel Type</t>
  </si>
  <si>
    <t>% of Consumption that is Estimated</t>
  </si>
  <si>
    <t>MM/DD/YYYY</t>
  </si>
  <si>
    <t>LNG</t>
  </si>
  <si>
    <t>CNG</t>
  </si>
  <si>
    <t>Sedans and Station Wagons</t>
  </si>
  <si>
    <t>Ambulances</t>
  </si>
  <si>
    <t>Buses (16 or more passengers)</t>
  </si>
  <si>
    <t>Trucks &amp; Truck Tractors by Gross Vehicle Weight Rating (GVWR)</t>
  </si>
  <si>
    <t>8,501-16,000 Lbs/Kilos</t>
  </si>
  <si>
    <t>4 x 2</t>
  </si>
  <si>
    <t>4 x 4</t>
  </si>
  <si>
    <t>Est. GHG Emissions (MTCO2)</t>
  </si>
  <si>
    <t>Energy Produced on Federal or Indian Land and Used by Agency</t>
  </si>
  <si>
    <t>Site</t>
  </si>
  <si>
    <t>Fiscal Year:</t>
  </si>
  <si>
    <t>Renewable Electricity Use (MWH)</t>
  </si>
  <si>
    <t>Total Electricity Use (MWH)</t>
  </si>
  <si>
    <r>
      <t xml:space="preserve">Electricity from </t>
    </r>
    <r>
      <rPr>
        <i/>
        <sz val="10"/>
        <rFont val="Times New Roman"/>
        <family val="1"/>
      </rPr>
      <t>New</t>
    </r>
    <r>
      <rPr>
        <sz val="10"/>
        <rFont val="Times New Roman"/>
        <family val="1"/>
      </rPr>
      <t xml:space="preserve"> </t>
    </r>
    <r>
      <rPr>
        <u val="single"/>
        <sz val="10"/>
        <rFont val="Times New Roman"/>
        <family val="1"/>
      </rPr>
      <t>Solar</t>
    </r>
    <r>
      <rPr>
        <sz val="10"/>
        <rFont val="Times New Roman"/>
        <family val="1"/>
      </rPr>
      <t xml:space="preserve"> projects (MWH)</t>
    </r>
  </si>
  <si>
    <r>
      <t xml:space="preserve">Electricity from </t>
    </r>
    <r>
      <rPr>
        <i/>
        <sz val="10"/>
        <rFont val="Times New Roman"/>
        <family val="1"/>
      </rPr>
      <t>New</t>
    </r>
    <r>
      <rPr>
        <sz val="10"/>
        <rFont val="Times New Roman"/>
        <family val="1"/>
      </rPr>
      <t xml:space="preserve"> </t>
    </r>
    <r>
      <rPr>
        <u val="single"/>
        <sz val="10"/>
        <rFont val="Times New Roman"/>
        <family val="1"/>
      </rPr>
      <t>Wind</t>
    </r>
    <r>
      <rPr>
        <sz val="10"/>
        <rFont val="Times New Roman"/>
        <family val="1"/>
      </rPr>
      <t xml:space="preserve"> projects (MWH)</t>
    </r>
  </si>
  <si>
    <r>
      <t xml:space="preserve">Electricity from </t>
    </r>
    <r>
      <rPr>
        <i/>
        <sz val="10"/>
        <rFont val="Times New Roman"/>
        <family val="1"/>
      </rPr>
      <t>New</t>
    </r>
    <r>
      <rPr>
        <sz val="10"/>
        <rFont val="Times New Roman"/>
        <family val="1"/>
      </rPr>
      <t xml:space="preserve"> </t>
    </r>
    <r>
      <rPr>
        <u val="single"/>
        <sz val="10"/>
        <rFont val="Times New Roman"/>
        <family val="1"/>
      </rPr>
      <t>Biomass</t>
    </r>
    <r>
      <rPr>
        <sz val="10"/>
        <rFont val="Times New Roman"/>
        <family val="1"/>
      </rPr>
      <t xml:space="preserve"> projects (MWH)</t>
    </r>
  </si>
  <si>
    <r>
      <t xml:space="preserve">Electricity from </t>
    </r>
    <r>
      <rPr>
        <i/>
        <sz val="10"/>
        <rFont val="Times New Roman"/>
        <family val="1"/>
      </rPr>
      <t>New</t>
    </r>
    <r>
      <rPr>
        <sz val="10"/>
        <rFont val="Times New Roman"/>
        <family val="1"/>
      </rPr>
      <t xml:space="preserve"> </t>
    </r>
    <r>
      <rPr>
        <u val="single"/>
        <sz val="10"/>
        <rFont val="Times New Roman"/>
        <family val="1"/>
      </rPr>
      <t>Landfill Gas</t>
    </r>
    <r>
      <rPr>
        <sz val="10"/>
        <rFont val="Times New Roman"/>
        <family val="1"/>
      </rPr>
      <t xml:space="preserve"> projects (MWH)</t>
    </r>
  </si>
  <si>
    <r>
      <t xml:space="preserve">Electricity from </t>
    </r>
    <r>
      <rPr>
        <i/>
        <sz val="10"/>
        <rFont val="Times New Roman"/>
        <family val="1"/>
      </rPr>
      <t>New</t>
    </r>
    <r>
      <rPr>
        <sz val="10"/>
        <rFont val="Times New Roman"/>
        <family val="1"/>
      </rPr>
      <t xml:space="preserve"> </t>
    </r>
    <r>
      <rPr>
        <u val="single"/>
        <sz val="10"/>
        <rFont val="Times New Roman"/>
        <family val="1"/>
      </rPr>
      <t>Geothermal</t>
    </r>
    <r>
      <rPr>
        <sz val="10"/>
        <rFont val="Times New Roman"/>
        <family val="1"/>
      </rPr>
      <t xml:space="preserve"> projects (MWH)</t>
    </r>
  </si>
  <si>
    <r>
      <t xml:space="preserve">Electricity from </t>
    </r>
    <r>
      <rPr>
        <i/>
        <sz val="10"/>
        <rFont val="Times New Roman"/>
        <family val="1"/>
      </rPr>
      <t>New</t>
    </r>
    <r>
      <rPr>
        <sz val="10"/>
        <rFont val="Times New Roman"/>
        <family val="1"/>
      </rPr>
      <t xml:space="preserve"> </t>
    </r>
    <r>
      <rPr>
        <u val="single"/>
        <sz val="10"/>
        <rFont val="Times New Roman"/>
        <family val="1"/>
      </rPr>
      <t>Hydro/Ocean</t>
    </r>
    <r>
      <rPr>
        <sz val="10"/>
        <rFont val="Times New Roman"/>
        <family val="1"/>
      </rPr>
      <t xml:space="preserve"> projects (MWH)</t>
    </r>
  </si>
  <si>
    <r>
      <t xml:space="preserve">Electricity from </t>
    </r>
    <r>
      <rPr>
        <i/>
        <sz val="10"/>
        <rFont val="Times New Roman"/>
        <family val="1"/>
      </rPr>
      <t>Old</t>
    </r>
    <r>
      <rPr>
        <sz val="10"/>
        <rFont val="Times New Roman"/>
        <family val="1"/>
      </rPr>
      <t xml:space="preserve"> </t>
    </r>
    <r>
      <rPr>
        <u val="single"/>
        <sz val="10"/>
        <rFont val="Times New Roman"/>
        <family val="1"/>
      </rPr>
      <t>Solar</t>
    </r>
    <r>
      <rPr>
        <sz val="10"/>
        <rFont val="Times New Roman"/>
        <family val="1"/>
      </rPr>
      <t xml:space="preserve"> projects (MWH)</t>
    </r>
  </si>
  <si>
    <r>
      <t xml:space="preserve">Electricity from </t>
    </r>
    <r>
      <rPr>
        <i/>
        <sz val="10"/>
        <rFont val="Times New Roman"/>
        <family val="1"/>
      </rPr>
      <t>Old</t>
    </r>
    <r>
      <rPr>
        <sz val="10"/>
        <rFont val="Times New Roman"/>
        <family val="1"/>
      </rPr>
      <t xml:space="preserve"> </t>
    </r>
    <r>
      <rPr>
        <u val="single"/>
        <sz val="10"/>
        <rFont val="Times New Roman"/>
        <family val="1"/>
      </rPr>
      <t>Wind</t>
    </r>
    <r>
      <rPr>
        <sz val="10"/>
        <rFont val="Times New Roman"/>
        <family val="1"/>
      </rPr>
      <t xml:space="preserve"> projects (MWH)</t>
    </r>
  </si>
  <si>
    <r>
      <t xml:space="preserve">Electricity from </t>
    </r>
    <r>
      <rPr>
        <i/>
        <sz val="10"/>
        <rFont val="Times New Roman"/>
        <family val="1"/>
      </rPr>
      <t>Old</t>
    </r>
    <r>
      <rPr>
        <sz val="10"/>
        <rFont val="Times New Roman"/>
        <family val="1"/>
      </rPr>
      <t xml:space="preserve"> </t>
    </r>
    <r>
      <rPr>
        <u val="single"/>
        <sz val="10"/>
        <rFont val="Times New Roman"/>
        <family val="1"/>
      </rPr>
      <t>Biomass</t>
    </r>
    <r>
      <rPr>
        <sz val="10"/>
        <rFont val="Times New Roman"/>
        <family val="1"/>
      </rPr>
      <t xml:space="preserve"> projects (MWH)</t>
    </r>
  </si>
  <si>
    <r>
      <t xml:space="preserve">Electricity from </t>
    </r>
    <r>
      <rPr>
        <i/>
        <sz val="10"/>
        <rFont val="Times New Roman"/>
        <family val="1"/>
      </rPr>
      <t>Old</t>
    </r>
    <r>
      <rPr>
        <sz val="10"/>
        <rFont val="Times New Roman"/>
        <family val="1"/>
      </rPr>
      <t xml:space="preserve"> </t>
    </r>
    <r>
      <rPr>
        <u val="single"/>
        <sz val="10"/>
        <rFont val="Times New Roman"/>
        <family val="1"/>
      </rPr>
      <t>Landfill Gas</t>
    </r>
    <r>
      <rPr>
        <sz val="10"/>
        <rFont val="Times New Roman"/>
        <family val="1"/>
      </rPr>
      <t xml:space="preserve"> projects (MWH)</t>
    </r>
  </si>
  <si>
    <r>
      <t xml:space="preserve">Electricity from </t>
    </r>
    <r>
      <rPr>
        <i/>
        <sz val="10"/>
        <rFont val="Times New Roman"/>
        <family val="1"/>
      </rPr>
      <t>Old</t>
    </r>
    <r>
      <rPr>
        <sz val="10"/>
        <rFont val="Times New Roman"/>
        <family val="1"/>
      </rPr>
      <t xml:space="preserve"> </t>
    </r>
    <r>
      <rPr>
        <u val="single"/>
        <sz val="10"/>
        <rFont val="Times New Roman"/>
        <family val="1"/>
      </rPr>
      <t>Geothermal</t>
    </r>
    <r>
      <rPr>
        <sz val="10"/>
        <rFont val="Times New Roman"/>
        <family val="1"/>
      </rPr>
      <t xml:space="preserve"> projects (MWH)</t>
    </r>
  </si>
  <si>
    <r>
      <t xml:space="preserve">Electricity from </t>
    </r>
    <r>
      <rPr>
        <i/>
        <sz val="10"/>
        <rFont val="Times New Roman"/>
        <family val="1"/>
      </rPr>
      <t>Old</t>
    </r>
    <r>
      <rPr>
        <sz val="10"/>
        <rFont val="Times New Roman"/>
        <family val="1"/>
      </rPr>
      <t xml:space="preserve"> </t>
    </r>
    <r>
      <rPr>
        <u val="single"/>
        <sz val="10"/>
        <rFont val="Times New Roman"/>
        <family val="1"/>
      </rPr>
      <t>Hydro/Ocean</t>
    </r>
    <r>
      <rPr>
        <sz val="10"/>
        <rFont val="Times New Roman"/>
        <family val="1"/>
      </rPr>
      <t xml:space="preserve"> projects (MWH)</t>
    </r>
  </si>
  <si>
    <r>
      <t xml:space="preserve">Renewable energy reported here comes from projects: 1) placed in service </t>
    </r>
    <r>
      <rPr>
        <b/>
        <sz val="10"/>
        <rFont val="Times New Roman"/>
        <family val="1"/>
      </rPr>
      <t>after 1/1/1999 (New)</t>
    </r>
    <r>
      <rPr>
        <sz val="10"/>
        <rFont val="Times New Roman"/>
        <family val="1"/>
      </rPr>
      <t>; 2) where RECs have not been retained by the government; 3) where the amount has not been reported elsewhere on this data report; and 4) where the energy or RECs have not been sold to another agency that is counting it toward their renewable energy goal. (MWH)</t>
    </r>
  </si>
  <si>
    <r>
      <t xml:space="preserve">Renewable energy reported here must come from projects:  1) placed in service </t>
    </r>
    <r>
      <rPr>
        <b/>
        <sz val="10"/>
        <rFont val="Times New Roman"/>
        <family val="1"/>
      </rPr>
      <t>before 1/1/1999 (Old)</t>
    </r>
    <r>
      <rPr>
        <sz val="10"/>
        <rFont val="Times New Roman"/>
        <family val="1"/>
      </rPr>
      <t>; 2) where RECs have not been retained by the government; 3) where the amount has not been reported elsewhere on this data report; and 4) where the energy or RECs have not been sold to another agency that is counting it toward their renewable energy goal. (MWH)</t>
    </r>
  </si>
  <si>
    <t>Reduction in water consumption intensity</t>
  </si>
  <si>
    <t>FY 2007 Gal/GSF</t>
  </si>
  <si>
    <t>Anticipated Annual Savings 
(Million Btu)</t>
  </si>
  <si>
    <t>/Gallon</t>
  </si>
  <si>
    <r>
      <t>Est. GHG Emissions
(Mt CO</t>
    </r>
    <r>
      <rPr>
        <b/>
        <vertAlign val="subscript"/>
        <sz val="10"/>
        <rFont val="Times New Roman"/>
        <family val="1"/>
      </rPr>
      <t>2</t>
    </r>
    <r>
      <rPr>
        <b/>
        <sz val="10"/>
        <rFont val="Times New Roman"/>
        <family val="1"/>
      </rPr>
      <t>e)</t>
    </r>
  </si>
  <si>
    <t>Energy</t>
  </si>
  <si>
    <t>Water</t>
  </si>
  <si>
    <t>Renewable</t>
  </si>
  <si>
    <t>Petroleum</t>
  </si>
  <si>
    <t>Alt. Fuel</t>
  </si>
  <si>
    <t>Y/N</t>
  </si>
  <si>
    <t>Yes</t>
  </si>
  <si>
    <t>No</t>
  </si>
  <si>
    <t>Solar Ventilation Pre-Heat</t>
  </si>
  <si>
    <t>Solar Water Heating</t>
  </si>
  <si>
    <t>Solar Pool Heating</t>
  </si>
  <si>
    <t>PV</t>
  </si>
  <si>
    <t>SVPH</t>
  </si>
  <si>
    <t>SWH</t>
  </si>
  <si>
    <t>SPH</t>
  </si>
  <si>
    <t>Other Thermal</t>
  </si>
  <si>
    <t>Other Electricity</t>
  </si>
  <si>
    <t>CSP</t>
  </si>
  <si>
    <t>Concentrating Solar Power</t>
  </si>
  <si>
    <t>WT</t>
  </si>
  <si>
    <t>Wind Turbine</t>
  </si>
  <si>
    <t>Hydropower</t>
  </si>
  <si>
    <t>Bio</t>
  </si>
  <si>
    <t>Biomass</t>
  </si>
  <si>
    <t>GHP</t>
  </si>
  <si>
    <t>Geothermal Heat Pumps</t>
  </si>
  <si>
    <t>HT</t>
  </si>
  <si>
    <t>Other Geothermal</t>
  </si>
  <si>
    <t>System Type</t>
  </si>
  <si>
    <t>Other Solar</t>
  </si>
  <si>
    <t>Other Wind</t>
  </si>
  <si>
    <t>Other Hydro</t>
  </si>
  <si>
    <t>On Federal or Indian Land?</t>
  </si>
  <si>
    <t>Internally Funded</t>
  </si>
  <si>
    <t>PPA</t>
  </si>
  <si>
    <t>Indirect</t>
  </si>
  <si>
    <t>Overhead</t>
  </si>
  <si>
    <t>Power Recharge Pool</t>
  </si>
  <si>
    <t>Funding Source</t>
  </si>
  <si>
    <t>HVAC</t>
  </si>
  <si>
    <t>Computer System Improvements</t>
  </si>
  <si>
    <t>Electric Motors and Drives</t>
  </si>
  <si>
    <t>Fuel Cell</t>
  </si>
  <si>
    <t>Solar Thermal</t>
  </si>
  <si>
    <t>Wind</t>
  </si>
  <si>
    <t>Geothermal</t>
  </si>
  <si>
    <t>Electrical Peak Shaving/Load Shifting</t>
  </si>
  <si>
    <t>EMS4</t>
  </si>
  <si>
    <t>FAST</t>
  </si>
  <si>
    <t>FIMS</t>
  </si>
  <si>
    <t>Environmental Management System</t>
  </si>
  <si>
    <t>Federal Automotive Statistical Tool</t>
  </si>
  <si>
    <t>Facilities Information Management System</t>
  </si>
  <si>
    <t>On-Line Data Collection System</t>
  </si>
  <si>
    <t>Fiscal Year</t>
  </si>
  <si>
    <t>Report Period</t>
  </si>
  <si>
    <t>Fiscal Year (Oct 1 - Sept 30)</t>
  </si>
  <si>
    <t>Photovoltaic</t>
  </si>
  <si>
    <t>Total investment as a percentage of total facility energy costs</t>
  </si>
  <si>
    <t>Financed (ESPC/UESC) investment as a percentage of total facility energy costs</t>
  </si>
  <si>
    <t>Solar</t>
  </si>
  <si>
    <t>Landfill Gas</t>
  </si>
  <si>
    <t>Hydro/Ocean</t>
  </si>
  <si>
    <t>1-8.  On-Site Renewable Energy Generation where RECs are not retained by the Government</t>
  </si>
  <si>
    <r>
      <t xml:space="preserve">Electricity from </t>
    </r>
    <r>
      <rPr>
        <i/>
        <sz val="10"/>
        <rFont val="Times New Roman"/>
        <family val="1"/>
      </rPr>
      <t>New</t>
    </r>
    <r>
      <rPr>
        <sz val="10"/>
        <rFont val="Times New Roman"/>
        <family val="1"/>
      </rPr>
      <t xml:space="preserve"> Renewable Source (MWH)</t>
    </r>
  </si>
  <si>
    <r>
      <t xml:space="preserve">Electricity from </t>
    </r>
    <r>
      <rPr>
        <i/>
        <sz val="10"/>
        <rFont val="Times New Roman"/>
        <family val="1"/>
      </rPr>
      <t>New</t>
    </r>
    <r>
      <rPr>
        <sz val="10"/>
        <rFont val="Times New Roman"/>
        <family val="1"/>
      </rPr>
      <t xml:space="preserve"> Renewable Source  (MWH)</t>
    </r>
  </si>
  <si>
    <r>
      <t xml:space="preserve">Electricity from </t>
    </r>
    <r>
      <rPr>
        <i/>
        <sz val="10"/>
        <rFont val="Times New Roman"/>
        <family val="1"/>
      </rPr>
      <t>Old</t>
    </r>
    <r>
      <rPr>
        <sz val="10"/>
        <rFont val="Times New Roman"/>
        <family val="1"/>
      </rPr>
      <t xml:space="preserve"> Renewable Source (MWH)</t>
    </r>
  </si>
  <si>
    <t>Electricity from Old Renewable Source (MWH)</t>
  </si>
  <si>
    <r>
      <t xml:space="preserve">RECs from </t>
    </r>
    <r>
      <rPr>
        <i/>
        <sz val="10"/>
        <rFont val="Times New Roman"/>
        <family val="1"/>
      </rPr>
      <t>New</t>
    </r>
    <r>
      <rPr>
        <sz val="10"/>
        <rFont val="Times New Roman"/>
        <family val="1"/>
      </rPr>
      <t xml:space="preserve"> Renewable Source (MWH)</t>
    </r>
  </si>
  <si>
    <r>
      <t xml:space="preserve">RECs from </t>
    </r>
    <r>
      <rPr>
        <i/>
        <sz val="10"/>
        <rFont val="Times New Roman"/>
        <family val="1"/>
      </rPr>
      <t>Old</t>
    </r>
    <r>
      <rPr>
        <sz val="10"/>
        <rFont val="Times New Roman"/>
        <family val="1"/>
      </rPr>
      <t xml:space="preserve"> Renewable Source (MWH)</t>
    </r>
  </si>
  <si>
    <t>Total Amount 
Purchased</t>
  </si>
  <si>
    <r>
      <t xml:space="preserve">Total Purchases of </t>
    </r>
    <r>
      <rPr>
        <i/>
        <sz val="10"/>
        <rFont val="Times New Roman"/>
        <family val="1"/>
      </rPr>
      <t>New</t>
    </r>
    <r>
      <rPr>
        <sz val="10"/>
        <rFont val="Times New Roman"/>
        <family val="1"/>
      </rPr>
      <t xml:space="preserve"> Renewable Electricity (MWH)</t>
    </r>
  </si>
  <si>
    <r>
      <t xml:space="preserve">Total Purchases of </t>
    </r>
    <r>
      <rPr>
        <i/>
        <sz val="10"/>
        <rFont val="Times New Roman"/>
        <family val="1"/>
      </rPr>
      <t>New</t>
    </r>
    <r>
      <rPr>
        <sz val="10"/>
        <rFont val="Times New Roman"/>
        <family val="1"/>
      </rPr>
      <t xml:space="preserve"> RECs (MWH)</t>
    </r>
  </si>
  <si>
    <t>Bonus for Purchases from New Projects 
on Federal or Indian Land (MWH)</t>
  </si>
  <si>
    <r>
      <t xml:space="preserve">Total Purchases of </t>
    </r>
    <r>
      <rPr>
        <i/>
        <sz val="10"/>
        <rFont val="Times New Roman"/>
        <family val="1"/>
      </rPr>
      <t>Old</t>
    </r>
    <r>
      <rPr>
        <sz val="10"/>
        <rFont val="Times New Roman"/>
        <family val="1"/>
      </rPr>
      <t xml:space="preserve"> Renewable Electricity  (MWH)</t>
    </r>
  </si>
  <si>
    <r>
      <t xml:space="preserve">Total Purchases of </t>
    </r>
    <r>
      <rPr>
        <i/>
        <sz val="10"/>
        <rFont val="Times New Roman"/>
        <family val="1"/>
      </rPr>
      <t>Old</t>
    </r>
    <r>
      <rPr>
        <sz val="10"/>
        <rFont val="Times New Roman"/>
        <family val="1"/>
      </rPr>
      <t xml:space="preserve"> RECs  (MWH)</t>
    </r>
  </si>
  <si>
    <t>2-1.  Direct Agency Obligations</t>
  </si>
  <si>
    <t>(Number/Thou. $)</t>
  </si>
  <si>
    <t>(Number)</t>
  </si>
  <si>
    <t xml:space="preserve">2-6.  Training </t>
  </si>
  <si>
    <t>2-5.  Federal Building Energy Efficiency Standards</t>
  </si>
  <si>
    <t>Geothermal-Hydrothermal</t>
  </si>
  <si>
    <t>Solar Space Conditioning</t>
  </si>
  <si>
    <t>SHC</t>
  </si>
  <si>
    <t>Ocean Thermal</t>
  </si>
  <si>
    <t>Ocean Wave/Tidal</t>
  </si>
  <si>
    <t>Hydropower-Incremental</t>
  </si>
  <si>
    <t>Hydrokinetic</t>
  </si>
  <si>
    <t>Status</t>
  </si>
  <si>
    <t>Energy Related Process Improvements</t>
  </si>
  <si>
    <t>Program</t>
  </si>
  <si>
    <t>Site #</t>
  </si>
  <si>
    <t>City</t>
  </si>
  <si>
    <t>State</t>
  </si>
  <si>
    <t>Zip</t>
  </si>
  <si>
    <t>Cancelled</t>
  </si>
  <si>
    <t>ESPC</t>
  </si>
  <si>
    <t>UESC</t>
  </si>
  <si>
    <t>EUL</t>
  </si>
  <si>
    <t>Budget Includes:</t>
  </si>
  <si>
    <t>O&amp;M - Operating and Maintenance</t>
  </si>
  <si>
    <t>M&amp;R - Maintenance and Repair</t>
  </si>
  <si>
    <t>IGPP - Institutional General Plant Project</t>
  </si>
  <si>
    <t>GPP - General Plant Project</t>
  </si>
  <si>
    <t>Line Item</t>
  </si>
  <si>
    <t>SLI - SC specific</t>
  </si>
  <si>
    <t>RTBF - NNSA specific</t>
  </si>
  <si>
    <t>Alt Finance Includes</t>
  </si>
  <si>
    <t>D&amp;D - Decontamination and Decommissioning</t>
  </si>
  <si>
    <t>Budget (Request)</t>
  </si>
  <si>
    <t>Identified</t>
  </si>
  <si>
    <t>Estimated Annual Energy Cost Savings ($)</t>
  </si>
  <si>
    <t>Estimated Annual Water Cost Savings ($)</t>
  </si>
  <si>
    <t>Estimated Annual Renewable Electricity Output
(kWh/Yr)</t>
  </si>
  <si>
    <t>Efficiency Measure(s)/ECMs</t>
  </si>
  <si>
    <t>Alternative Fuel Infrastructure</t>
  </si>
  <si>
    <t>Operational</t>
  </si>
  <si>
    <t>Awarded: contract awarded and construction has begun</t>
  </si>
  <si>
    <t>Cancelled: project terminated</t>
  </si>
  <si>
    <t>Identified: potential efficiency measure(s) identified though an audit or evaluation but not yet approved to move forward</t>
  </si>
  <si>
    <t>In Development: in design with potential funding source identified</t>
  </si>
  <si>
    <t>Operational: construction complete and system is operating</t>
  </si>
  <si>
    <t>Windows</t>
  </si>
  <si>
    <t>Due In</t>
  </si>
  <si>
    <t>November 15</t>
  </si>
  <si>
    <t>PART 1:  CONSUMPTION AND COST DATA</t>
  </si>
  <si>
    <t>October 31</t>
  </si>
  <si>
    <t>1-5.  Fleet Vehicle Consumption and Costs as captured by FAST</t>
  </si>
  <si>
    <t>Estimated Implementation Cost ($)</t>
  </si>
  <si>
    <t>Other: Enter Description/Name</t>
  </si>
  <si>
    <t>1-1.  NECPA/E.O. 13423 Goal Subject Buildings Energy Use and Cost</t>
  </si>
  <si>
    <t>1-2.  NECPA/E.O. 13423 Goal Excluded Buildings Energy Use and Cost</t>
  </si>
  <si>
    <t>1-6a.  Fleet Vehicle Inventory</t>
  </si>
  <si>
    <t>1-6b.  Fleet Vehicle Acquisitions</t>
  </si>
  <si>
    <t>Water Type</t>
  </si>
  <si>
    <t>Potable</t>
  </si>
  <si>
    <t>Aquifer Replenishment</t>
  </si>
  <si>
    <t>Reclaimed/Recycled and detained rainwater</t>
  </si>
  <si>
    <t>Energy Type</t>
  </si>
  <si>
    <t>Annual Cost
(Thou. $)</t>
  </si>
  <si>
    <t>/MGal</t>
  </si>
  <si>
    <t>FY 2008 Gross Square Feet (Thousands)</t>
  </si>
  <si>
    <t>FY 2008 Gal/GSF</t>
  </si>
  <si>
    <t>FY 2007 Gross Square Feet (Thousands)</t>
  </si>
  <si>
    <t>Percent Estimated:</t>
  </si>
  <si>
    <t>Total:</t>
  </si>
  <si>
    <t>Basic Information</t>
  </si>
  <si>
    <t>USGBC Project Title</t>
  </si>
  <si>
    <t>2-4a.  Metering Of Electricity Use</t>
  </si>
  <si>
    <t>Date of latest metering plan (enter "none" if no plan has been developed):</t>
  </si>
  <si>
    <t>2-4b.  Metering Of Water Use</t>
  </si>
  <si>
    <t>Cumulative % of Water Metered</t>
  </si>
  <si>
    <t>2-4c.  Metering Of Natural Gas Use</t>
  </si>
  <si>
    <t>Cumulative % of Natural Gas Metered</t>
  </si>
  <si>
    <t>2-4d.  Metering Of Steam Use</t>
  </si>
  <si>
    <t>Cumulative % of Steam Metered</t>
  </si>
  <si>
    <t>Complete this section if construction has been completed</t>
  </si>
  <si>
    <t>If not at least 30% below ASHRAE Std 90.1--2004, will design achieve maximum level of energy efficiency that is life-cycle cost-effective?</t>
  </si>
  <si>
    <t>Estimated percentage below ASHRAE Std 90.1--2004 in terms of energy use</t>
  </si>
  <si>
    <t>Estimated Gross Square Feet
(Thousands)</t>
  </si>
  <si>
    <t>Non-Potable Freshwater</t>
  </si>
  <si>
    <t>DOE Clean Cities Program</t>
  </si>
  <si>
    <t>1-4.  Non-Fleet Vehicles and Other Equipment</t>
  </si>
  <si>
    <t>(Source: EMS4 "Buildings" Category)</t>
  </si>
  <si>
    <t>(Source: EMS4 "Metered Process" Category)</t>
  </si>
  <si>
    <t>(Source: EMS4 "Vehicle and Equipment" Category,  and does not include Fleet Vehicle Data Captured by FAST System)</t>
  </si>
  <si>
    <t>(Source: FAST SF82, Section IV, Part C, "Annual Fuel Consumption Report by, Fuel Type")</t>
  </si>
  <si>
    <t>(Source: FAST SF82, Section IV, Part A, "Agency-Owned, Commercially Leased and GSA Leased Total Fleet")</t>
  </si>
  <si>
    <t>8,500 LBS./Kilos &amp; Under</t>
  </si>
  <si>
    <t>16,001 Lbs/Kilos &amp; Over</t>
  </si>
  <si>
    <t>EPACT Excluded Buildings</t>
  </si>
  <si>
    <t>3-1. Covered Facility Characteristics and Energy Manager Information</t>
  </si>
  <si>
    <t>Total new building designs started since beginning of FY 2007:</t>
  </si>
  <si>
    <t>Total new building designs started since beginning of FY 2007 expected to be 30% more energy efficient than relevant code, where life-cycle cost effective:</t>
  </si>
  <si>
    <t>Trip  Consolidation</t>
  </si>
  <si>
    <t>Department</t>
  </si>
  <si>
    <t>Program Acronym</t>
  </si>
  <si>
    <t>Site Acronym</t>
  </si>
  <si>
    <t>Energy Manager Name</t>
  </si>
  <si>
    <t>Manager Email</t>
  </si>
  <si>
    <t>Manager ID</t>
  </si>
  <si>
    <t>B20</t>
  </si>
  <si>
    <t>B100</t>
  </si>
  <si>
    <t>Hydrogen</t>
  </si>
  <si>
    <t>PHEVs</t>
  </si>
  <si>
    <t>Fuel</t>
  </si>
  <si>
    <t>Vehicle</t>
  </si>
  <si>
    <t>B20 Consumption</t>
  </si>
  <si>
    <t>Teleconferencing</t>
  </si>
  <si>
    <t>Strategy Description</t>
  </si>
  <si>
    <t>Vehicle Type</t>
  </si>
  <si>
    <t>Fleet Strategy</t>
  </si>
  <si>
    <t>Mass Transportation Use</t>
  </si>
  <si>
    <t>Vehicle Size</t>
  </si>
  <si>
    <t>Size</t>
  </si>
  <si>
    <t>Light Duty</t>
  </si>
  <si>
    <t>Medium Duty</t>
  </si>
  <si>
    <t>Heavy Duty</t>
  </si>
  <si>
    <t>PART 2:  ENERGY EFFICIENCY IMPROVEMENTS AND FUNDING</t>
  </si>
  <si>
    <t>RE:  100%
EE:  Up to 4.8% reduction for short-term and 7.2% reduction for long-term.</t>
  </si>
  <si>
    <t>RE:  Up to 1.5% of total electricity use.
EE:  Up to 4.8% reduction for short-term and 7.2% reduction for long-term.</t>
  </si>
  <si>
    <t>RE:  Up to 1.5% of total electricity use
EE:  Up to 4.8% reduction for short-term and 7.2% reduction for long-term.</t>
  </si>
  <si>
    <t>RE:  no contribution to goal
EE:  Up to 4.8% reduction for short-term and 7.2% reduction for long-term.</t>
  </si>
  <si>
    <t>Distributed Generation</t>
  </si>
  <si>
    <t>System Cost ($)</t>
  </si>
  <si>
    <t>Estimated Annual Cost Savings ($)</t>
  </si>
  <si>
    <t>MBtu</t>
  </si>
  <si>
    <t>Compliance Path</t>
  </si>
  <si>
    <t>Guiding Principles</t>
  </si>
  <si>
    <t>Met</t>
  </si>
  <si>
    <t>Not Yet Met</t>
  </si>
  <si>
    <t>GP Status</t>
  </si>
  <si>
    <t>Guiding Principle compliance path using sustainable building assessment tool</t>
  </si>
  <si>
    <t>Version</t>
  </si>
  <si>
    <t>List of Existing Buildings to Meet 15% HPSB Goal</t>
  </si>
  <si>
    <t>Fleet Fund</t>
  </si>
  <si>
    <t>Conservation Measures List for DOE O 430.2B and EISA 2007 Section 432</t>
  </si>
  <si>
    <t>Conservation Measure(s) Name or Description</t>
  </si>
  <si>
    <t>Currently meets Integrated Design GP?</t>
  </si>
  <si>
    <t>Currently meets Energy Performance GP?</t>
  </si>
  <si>
    <t>Currently meets Water GP?</t>
  </si>
  <si>
    <t>Currently meets Indoor Environmental Quality GP?</t>
  </si>
  <si>
    <t>Currently meets Materials GP?</t>
  </si>
  <si>
    <t>Planned or Actual LEED NC Level</t>
  </si>
  <si>
    <t>Proposed</t>
  </si>
  <si>
    <t>Proposed: identified efficiency measure awaiting funding source and design</t>
  </si>
  <si>
    <t>ARRA</t>
  </si>
  <si>
    <t>Short Goal</t>
  </si>
  <si>
    <t>Short Excluded</t>
  </si>
  <si>
    <t>Long Goal</t>
  </si>
  <si>
    <t>Long Excluded</t>
  </si>
  <si>
    <t>RECs Table 1-9</t>
  </si>
  <si>
    <t>Select from list</t>
  </si>
  <si>
    <t>Advanced Technology Vehicles Manufacturing Loan Program (ATVM): http://www.atvmloan.energy.gov/</t>
  </si>
  <si>
    <t>Commissioning/Re-commissioning</t>
  </si>
  <si>
    <t>Completion Year (Anticipated or Actual -- YYYY)</t>
  </si>
  <si>
    <t>System Type/Description</t>
  </si>
  <si>
    <t>Hydro</t>
  </si>
  <si>
    <t>Landfill</t>
  </si>
  <si>
    <t>Ocean</t>
  </si>
  <si>
    <t>Photo</t>
  </si>
  <si>
    <t>Thermal</t>
  </si>
  <si>
    <t>Alternative Fuel Vehicle Acquisition</t>
  </si>
  <si>
    <t>Acquire More Fuel-Efficient Vehicles</t>
  </si>
  <si>
    <t>Hybrid Electric Vehicles</t>
  </si>
  <si>
    <t>Neighborhood Electric Vehicles</t>
  </si>
  <si>
    <t>Right-size Fleet</t>
  </si>
  <si>
    <t>Reduce Vehicle Miles Travelled</t>
  </si>
  <si>
    <t>E85 FFV</t>
  </si>
  <si>
    <t>HEVs</t>
  </si>
  <si>
    <t>NEVs</t>
  </si>
  <si>
    <t>Low-Speed Vehicle</t>
  </si>
  <si>
    <t>E85</t>
  </si>
  <si>
    <t>Estimated Annual Petroleum Savings (GGE/Yr)</t>
  </si>
  <si>
    <t>Estimated Annual Alternative Fuel Consumption (GGE/Yr)</t>
  </si>
  <si>
    <t>Implementation Year (Anticipated or Actual -- YYYY)</t>
  </si>
  <si>
    <t>Base Energy (BBtu)</t>
  </si>
  <si>
    <t>Base GSF (thou.)</t>
  </si>
  <si>
    <t>Evaluated GSF (thou.)</t>
  </si>
  <si>
    <t>EISA Info</t>
  </si>
  <si>
    <t>Location Description
(i.e. building name, area code, etc.)</t>
  </si>
  <si>
    <t>FY2015 Status</t>
  </si>
  <si>
    <t>EI REC phase out:</t>
  </si>
  <si>
    <t>Is the FY 2007 water intensity baseline preliminary or final?</t>
  </si>
  <si>
    <t>(Source: EMS4 "Water" Category)</t>
  </si>
  <si>
    <r>
      <t>FY 2003</t>
    </r>
    <r>
      <rPr>
        <sz val="10"/>
        <rFont val="Times New Roman"/>
        <family val="1"/>
      </rPr>
      <t xml:space="preserve"> Excluded Facilities 
Total Energy Consumption (BBtu)</t>
    </r>
  </si>
  <si>
    <r>
      <t>FY 2003</t>
    </r>
    <r>
      <rPr>
        <sz val="10"/>
        <rFont val="Times New Roman"/>
        <family val="1"/>
      </rPr>
      <t xml:space="preserve"> Excluded Facilities 
Gross Square Feet (Thousands)</t>
    </r>
  </si>
  <si>
    <r>
      <t>FY 2003</t>
    </r>
    <r>
      <rPr>
        <sz val="10"/>
        <rFont val="Times New Roman"/>
        <family val="1"/>
      </rPr>
      <t xml:space="preserve"> Goal Subject Buildings 
Total Energy Consumption (BBtu)</t>
    </r>
  </si>
  <si>
    <r>
      <t>FY 2003</t>
    </r>
    <r>
      <rPr>
        <sz val="10"/>
        <rFont val="Times New Roman"/>
        <family val="1"/>
      </rPr>
      <t xml:space="preserve"> Goal Subject Buildings 
Gross Square Feet (Thousands)</t>
    </r>
  </si>
  <si>
    <t>Estimated Annual Renewable Electricity Consumed
(kWh/Yr)</t>
  </si>
  <si>
    <t>Conservation Measure(s) Type</t>
  </si>
  <si>
    <t>(Source: Sites are to input data.  A new renewable source is from resources developed after January 1, 1999)</t>
  </si>
  <si>
    <t>Portion Purchased from Projects on Federal or Indian Lands</t>
  </si>
  <si>
    <t>Type of Renewable Energy Purchase  (Two rows are provided for each type. Insert additional rows as necessary for purchases of same type but different end-use categories [Column I].)</t>
  </si>
  <si>
    <t>Conservation Measure(s) Status (Necessary)</t>
  </si>
  <si>
    <t>Conservation Measure(s) Project # (Optional)</t>
  </si>
  <si>
    <t>Additional Information (Optional)</t>
  </si>
  <si>
    <t>Optional FY 2015 Projection</t>
  </si>
  <si>
    <t>Building Name/Number</t>
  </si>
  <si>
    <t>Building Type/Use</t>
  </si>
  <si>
    <t>Estimated Annual Energy Consumption (MBtu/Yr)</t>
  </si>
  <si>
    <t>Estimated Annual Water Consumption (KGal/Yr)</t>
  </si>
  <si>
    <t>Estimation Methodology</t>
  </si>
  <si>
    <t>Estimated Value ($M)</t>
  </si>
  <si>
    <t>For compliance with DOE O 430.2B</t>
  </si>
  <si>
    <r>
      <t xml:space="preserve">Complete this section if </t>
    </r>
    <r>
      <rPr>
        <b/>
        <i/>
        <sz val="10"/>
        <rFont val="Times New Roman"/>
        <family val="1"/>
      </rPr>
      <t>new</t>
    </r>
    <r>
      <rPr>
        <b/>
        <sz val="10"/>
        <rFont val="Times New Roman"/>
        <family val="1"/>
      </rPr>
      <t xml:space="preserve"> building project was CD-1 or lower on </t>
    </r>
    <r>
      <rPr>
        <b/>
        <u val="single"/>
        <sz val="10"/>
        <rFont val="Times New Roman"/>
        <family val="1"/>
      </rPr>
      <t>10/1/06</t>
    </r>
  </si>
  <si>
    <t>HPSB</t>
  </si>
  <si>
    <t>Assessment Date (Planned or Actual) (MM/DD/YY)</t>
  </si>
  <si>
    <t>CD Level on 10/1/08</t>
  </si>
  <si>
    <t>Planned or Actual Registration date (MM/DD/YY)</t>
  </si>
  <si>
    <t>Planned or Actual Certification date (MM/DD/YY)</t>
  </si>
  <si>
    <t>LEED EBOM Version</t>
  </si>
  <si>
    <t>Planned or Actual LEED NC Certification date (MM/DD/YY)</t>
  </si>
  <si>
    <t>List of New Federal Building Construction and Major Renovation</t>
  </si>
  <si>
    <t>Planned or Actual LEED® EBOM Certification Level</t>
  </si>
  <si>
    <r>
      <t xml:space="preserve">1-11.  </t>
    </r>
    <r>
      <rPr>
        <b/>
        <u val="single"/>
        <sz val="10"/>
        <rFont val="Times New Roman"/>
        <family val="1"/>
      </rPr>
      <t>All</t>
    </r>
    <r>
      <rPr>
        <b/>
        <sz val="10"/>
        <rFont val="Times New Roman"/>
        <family val="1"/>
      </rPr>
      <t xml:space="preserve"> Renewable Energy Use as a Percentage of Facility Electricity Use (without Bonus)</t>
    </r>
  </si>
  <si>
    <t>Anticipated or Actual Year Construction Completed
(YYYY)</t>
  </si>
  <si>
    <t>Anticipated or Actual Year of CD-1 Completion (YYYY)</t>
  </si>
  <si>
    <t>Project ID (Optional)</t>
  </si>
  <si>
    <t>Annual Cost 
(Thou. $)</t>
  </si>
  <si>
    <t>KGal</t>
  </si>
  <si>
    <t>MGal</t>
  </si>
  <si>
    <r>
      <t xml:space="preserve">1-3c.  NECPA/E.O. 13423 Water Use and Cost for </t>
    </r>
    <r>
      <rPr>
        <b/>
        <u val="single"/>
        <sz val="10"/>
        <rFont val="Times New Roman"/>
        <family val="1"/>
      </rPr>
      <t>FY 2007</t>
    </r>
  </si>
  <si>
    <r>
      <t xml:space="preserve">1-3b.  NECPA/E.O. 13423 Water Use and Cost for </t>
    </r>
    <r>
      <rPr>
        <b/>
        <u val="single"/>
        <sz val="10"/>
        <rFont val="Times New Roman"/>
        <family val="1"/>
      </rPr>
      <t>FY 2008</t>
    </r>
  </si>
  <si>
    <r>
      <t xml:space="preserve">1-7.  Renewable Energy generated </t>
    </r>
    <r>
      <rPr>
        <b/>
        <u val="single"/>
        <sz val="10"/>
        <rFont val="Times New Roman"/>
        <family val="1"/>
      </rPr>
      <t>on</t>
    </r>
    <r>
      <rPr>
        <b/>
        <sz val="10"/>
        <rFont val="Times New Roman"/>
        <family val="1"/>
      </rPr>
      <t xml:space="preserve"> Federal or Indian land where RECs are retained by the Government</t>
    </r>
  </si>
  <si>
    <t>(Source: "Operating On-Site RE" worksheet.  Sites with currently operating on-site renewable energy systems must complete the "Operating On-Site RE" worksheet for this table to be updated.)</t>
  </si>
  <si>
    <r>
      <t xml:space="preserve">Renewable energy from </t>
    </r>
    <r>
      <rPr>
        <b/>
        <i/>
        <u val="single"/>
        <sz val="10"/>
        <rFont val="Times New Roman"/>
        <family val="1"/>
      </rPr>
      <t>New</t>
    </r>
    <r>
      <rPr>
        <b/>
        <i/>
        <sz val="10"/>
        <rFont val="Times New Roman"/>
        <family val="1"/>
      </rPr>
      <t xml:space="preserve"> projects placed in service after January 1, 1999</t>
    </r>
  </si>
  <si>
    <r>
      <t xml:space="preserve">Renewable energy from </t>
    </r>
    <r>
      <rPr>
        <b/>
        <i/>
        <u val="single"/>
        <sz val="10"/>
        <rFont val="Times New Roman"/>
        <family val="1"/>
      </rPr>
      <t>Old</t>
    </r>
    <r>
      <rPr>
        <b/>
        <i/>
        <sz val="10"/>
        <rFont val="Times New Roman"/>
        <family val="1"/>
      </rPr>
      <t xml:space="preserve"> projects placed in service before January 1, 1999</t>
    </r>
  </si>
  <si>
    <r>
      <t xml:space="preserve">Natural Gas from </t>
    </r>
    <r>
      <rPr>
        <i/>
        <sz val="10"/>
        <rFont val="Times New Roman"/>
        <family val="1"/>
      </rPr>
      <t>Old</t>
    </r>
    <r>
      <rPr>
        <sz val="10"/>
        <rFont val="Times New Roman"/>
        <family val="1"/>
      </rPr>
      <t xml:space="preserve"> Landfill/Biomass projects (MBtu)</t>
    </r>
  </si>
  <si>
    <r>
      <t xml:space="preserve">Renewable Thermal Energy from </t>
    </r>
    <r>
      <rPr>
        <i/>
        <sz val="10"/>
        <rFont val="Times New Roman"/>
        <family val="1"/>
      </rPr>
      <t>Old</t>
    </r>
    <r>
      <rPr>
        <sz val="10"/>
        <rFont val="Times New Roman"/>
        <family val="1"/>
      </rPr>
      <t xml:space="preserve"> projects (MBtu)</t>
    </r>
  </si>
  <si>
    <r>
      <t xml:space="preserve">Other </t>
    </r>
    <r>
      <rPr>
        <i/>
        <sz val="10"/>
        <rFont val="Times New Roman"/>
        <family val="1"/>
      </rPr>
      <t>Old</t>
    </r>
    <r>
      <rPr>
        <sz val="10"/>
        <rFont val="Times New Roman"/>
        <family val="1"/>
      </rPr>
      <t xml:space="preserve"> Renewable Energy (</t>
    </r>
    <r>
      <rPr>
        <u val="single"/>
        <sz val="10"/>
        <rFont val="Times New Roman"/>
        <family val="1"/>
      </rPr>
      <t>Specify Type</t>
    </r>
    <r>
      <rPr>
        <sz val="10"/>
        <rFont val="Times New Roman"/>
        <family val="1"/>
      </rPr>
      <t>) (MBtu)</t>
    </r>
  </si>
  <si>
    <r>
      <t xml:space="preserve">Natural Gas from </t>
    </r>
    <r>
      <rPr>
        <i/>
        <sz val="10"/>
        <rFont val="Times New Roman"/>
        <family val="1"/>
      </rPr>
      <t>New</t>
    </r>
    <r>
      <rPr>
        <sz val="10"/>
        <rFont val="Times New Roman"/>
        <family val="1"/>
      </rPr>
      <t xml:space="preserve"> Landfill/Biomass projects (MBtu)</t>
    </r>
  </si>
  <si>
    <r>
      <t xml:space="preserve">Renewable Thermal Energy from </t>
    </r>
    <r>
      <rPr>
        <i/>
        <sz val="10"/>
        <rFont val="Times New Roman"/>
        <family val="1"/>
      </rPr>
      <t>New</t>
    </r>
    <r>
      <rPr>
        <sz val="10"/>
        <rFont val="Times New Roman"/>
        <family val="1"/>
      </rPr>
      <t xml:space="preserve"> projects (MBtu)</t>
    </r>
  </si>
  <si>
    <r>
      <t xml:space="preserve">Other </t>
    </r>
    <r>
      <rPr>
        <i/>
        <sz val="10"/>
        <rFont val="Times New Roman"/>
        <family val="1"/>
      </rPr>
      <t>New</t>
    </r>
    <r>
      <rPr>
        <sz val="10"/>
        <rFont val="Times New Roman"/>
        <family val="1"/>
      </rPr>
      <t xml:space="preserve"> Renewable Energy (</t>
    </r>
    <r>
      <rPr>
        <u val="single"/>
        <sz val="10"/>
        <rFont val="Times New Roman"/>
        <family val="1"/>
      </rPr>
      <t>Specify Type</t>
    </r>
    <r>
      <rPr>
        <sz val="10"/>
        <rFont val="Times New Roman"/>
        <family val="1"/>
      </rPr>
      <t>) (MBtu)</t>
    </r>
  </si>
  <si>
    <t>Total Renewable Energy Generation (MBtu)</t>
  </si>
  <si>
    <t>(This energy is only counted toward the renewable energy goal if the agency has enough new RECs to qualify for the on-site bonus.  Calculations based on data in the "Operating On-Site RE" worksheet.)</t>
  </si>
  <si>
    <t>Purchase Term + End Use Category (Select from the drop-down list)</t>
  </si>
  <si>
    <t>Total Amount 
Purchased for Goal Buildings
(BBtu)</t>
  </si>
  <si>
    <t>Total Amount 
Purchased for Excluded Fac.
(BBtu)</t>
  </si>
  <si>
    <r>
      <t xml:space="preserve">Non-Electric Energy from </t>
    </r>
    <r>
      <rPr>
        <i/>
        <sz val="10"/>
        <rFont val="Times New Roman"/>
        <family val="1"/>
      </rPr>
      <t>New</t>
    </r>
    <r>
      <rPr>
        <sz val="10"/>
        <rFont val="Times New Roman"/>
        <family val="1"/>
      </rPr>
      <t xml:space="preserve"> Renewable Source (MBtu)</t>
    </r>
  </si>
  <si>
    <r>
      <t xml:space="preserve">Non-Electric Energy from </t>
    </r>
    <r>
      <rPr>
        <i/>
        <sz val="10"/>
        <rFont val="Times New Roman"/>
        <family val="1"/>
      </rPr>
      <t>Old</t>
    </r>
    <r>
      <rPr>
        <sz val="10"/>
        <rFont val="Times New Roman"/>
        <family val="1"/>
      </rPr>
      <t xml:space="preserve"> Renewable Source (MBtu)</t>
    </r>
  </si>
  <si>
    <r>
      <t xml:space="preserve">Total Purchases of </t>
    </r>
    <r>
      <rPr>
        <i/>
        <sz val="10"/>
        <rFont val="Times New Roman"/>
        <family val="1"/>
      </rPr>
      <t>New</t>
    </r>
    <r>
      <rPr>
        <sz val="10"/>
        <rFont val="Times New Roman"/>
        <family val="1"/>
      </rPr>
      <t xml:space="preserve"> Non-Electric Renewable Energy (MBtu)</t>
    </r>
  </si>
  <si>
    <r>
      <t xml:space="preserve">Total Purchases of </t>
    </r>
    <r>
      <rPr>
        <i/>
        <sz val="10"/>
        <rFont val="Times New Roman"/>
        <family val="1"/>
      </rPr>
      <t>Old</t>
    </r>
    <r>
      <rPr>
        <sz val="10"/>
        <rFont val="Times New Roman"/>
        <family val="1"/>
      </rPr>
      <t xml:space="preserve"> Non-Electric Renewable Energy (MBtu)</t>
    </r>
  </si>
  <si>
    <r>
      <t xml:space="preserve">1-9b.  Expected Renewable Energy/Renewable Energy Certificate Purchases in </t>
    </r>
    <r>
      <rPr>
        <b/>
        <u val="single"/>
        <sz val="10"/>
        <rFont val="Times New Roman"/>
        <family val="1"/>
      </rPr>
      <t>FY 2010</t>
    </r>
  </si>
  <si>
    <t>Type of Renewable Energy Purchase  (Two rows are provided for each type. Insert additional rows as necessary for purchases of same type but different end-use categories.)</t>
  </si>
  <si>
    <t>(Calculated from FY 2009 information input only)</t>
  </si>
  <si>
    <t>2-2.  Awarded Energy Savings Performance Contracts (ESPCs)</t>
  </si>
  <si>
    <t>Annual savings (MBtu)</t>
  </si>
  <si>
    <t>2-3.  Awarded Utility Energy Services Contracts (UESCs)</t>
  </si>
  <si>
    <t>3-2. Conservation &amp; Renewable Energy Measures</t>
  </si>
  <si>
    <t xml:space="preserve">PART 3:  CONSERVATION &amp; RE MEASURES </t>
  </si>
  <si>
    <t>Estimated Annual Energy Savings
(MBtu/Yr)</t>
  </si>
  <si>
    <t>Estimated Annual Water Savings
(KGal/Yr)</t>
  </si>
  <si>
    <t>Estimated Annual Renewable Thermal Consumed
(MBtu/Yr)</t>
  </si>
  <si>
    <t>Estimated Annual Renewable Thermal Output
(MBtu/Yr)</t>
  </si>
  <si>
    <t>(Address all data elements [highlighted cells], as applicable.  It is understood estimated values will inherently change over the life a measure.  If an estimated value is not available leave the cell blank.  For additional instructions see cell comments for each column and Appendix A of the guidance.)</t>
  </si>
  <si>
    <t>(MBtu)</t>
  </si>
  <si>
    <t>List of Operating On-Site Renewable Energy Systems</t>
  </si>
  <si>
    <t>(List currently operating on-site renewable energy systems in the table below.  Data will automatically populate Table 1-7 of the worksheet "2009 Data Report".  Newly proposed or potential on-site renewable energy systems should be listed in Table 3-2 of the worksheet "Conservation &amp; RE Measures".)</t>
  </si>
  <si>
    <t>Estimated Annual Renewable Electricity Consumed  (MWh/Yr)</t>
  </si>
  <si>
    <t>Estimated Annual Renewable Thermal Consumed (MBtu/Yr)</t>
  </si>
  <si>
    <t>Estimated Annual Renewable Electricity Output (MWh/Yr)</t>
  </si>
  <si>
    <t>Estimated Annual Renewable Thermal Output (MBtu/Yr)</t>
  </si>
  <si>
    <t>Transportation and Fleet Management Strategies to Meet Goals</t>
  </si>
  <si>
    <t>(Listed anticipated measures associated with transportation and fleet management through FY 2015 in the table below.)</t>
  </si>
  <si>
    <t>LEED® Certified</t>
  </si>
  <si>
    <t>LEED®</t>
  </si>
  <si>
    <t>LEED® Silver</t>
  </si>
  <si>
    <t>LEED® Gold</t>
  </si>
  <si>
    <t>LEED® Platinum</t>
  </si>
  <si>
    <t>What will the building achieve (LEED® level or GP)?</t>
  </si>
  <si>
    <t>Anticipated FY 2015 Footprint:</t>
  </si>
  <si>
    <t>Planned or actual compliance FY for all 5 Guiding Principles (YYYY)</t>
  </si>
  <si>
    <t>LEED® compliance path</t>
  </si>
  <si>
    <t>Anticipated FY of Change (YYYY)</t>
  </si>
  <si>
    <t>(Source: FAST SF82, Section IV, Part B, "Acquisitions Agency-Owned, Commercially Leased and GSA Leased")</t>
  </si>
  <si>
    <t>Total Purchases for Excluded Buildings (MBtu)</t>
  </si>
  <si>
    <t>Select from List</t>
  </si>
  <si>
    <t>Total All Purchases (MBtu)</t>
  </si>
  <si>
    <t>Total Purchases for Goal Buildings (MBtu)</t>
  </si>
  <si>
    <t>(Note: If a building has an advanced and a standard meter, then only account for the advanced meter.)</t>
  </si>
  <si>
    <t>Number of UESC Task/Delivery Orders awarded in fiscal year &amp; annual energy (MBtu) savings.</t>
  </si>
  <si>
    <t>Number of ESPC Task/Delivery Orders awarded in fiscal year &amp; annual energy (MBtu) savings.</t>
  </si>
  <si>
    <r>
      <t xml:space="preserve">Total </t>
    </r>
    <r>
      <rPr>
        <i/>
        <sz val="10"/>
        <rFont val="Times New Roman"/>
        <family val="1"/>
      </rPr>
      <t>New</t>
    </r>
    <r>
      <rPr>
        <sz val="10"/>
        <rFont val="Times New Roman"/>
        <family val="1"/>
      </rPr>
      <t xml:space="preserve"> Renewable Electricity (MWH)</t>
    </r>
  </si>
  <si>
    <r>
      <t xml:space="preserve">Total </t>
    </r>
    <r>
      <rPr>
        <i/>
        <sz val="10"/>
        <rFont val="Times New Roman"/>
        <family val="1"/>
      </rPr>
      <t>Old</t>
    </r>
    <r>
      <rPr>
        <sz val="10"/>
        <rFont val="Times New Roman"/>
        <family val="1"/>
      </rPr>
      <t xml:space="preserve"> Renewable Electricity (MWH)</t>
    </r>
  </si>
  <si>
    <r>
      <t xml:space="preserve">Total </t>
    </r>
    <r>
      <rPr>
        <i/>
        <sz val="10"/>
        <rFont val="Times New Roman"/>
        <family val="1"/>
      </rPr>
      <t>New</t>
    </r>
    <r>
      <rPr>
        <sz val="10"/>
        <rFont val="Times New Roman"/>
        <family val="1"/>
      </rPr>
      <t xml:space="preserve"> Non-Electric Renewable Energy (MBtu)</t>
    </r>
  </si>
  <si>
    <r>
      <t xml:space="preserve">Total </t>
    </r>
    <r>
      <rPr>
        <i/>
        <sz val="10"/>
        <rFont val="Times New Roman"/>
        <family val="1"/>
      </rPr>
      <t>Old</t>
    </r>
    <r>
      <rPr>
        <sz val="10"/>
        <rFont val="Times New Roman"/>
        <family val="1"/>
      </rPr>
      <t xml:space="preserve"> Non-Electric Renewable Energy (MBtu)</t>
    </r>
  </si>
  <si>
    <t>Non-capital measure</t>
  </si>
  <si>
    <t>Evaluated Energy (BBtu)</t>
  </si>
  <si>
    <t>Total GSF Planned to Meet GPs:</t>
  </si>
  <si>
    <t>As a % of Site:</t>
  </si>
  <si>
    <t>Awarded/Approved</t>
  </si>
  <si>
    <t>None of the Above</t>
  </si>
  <si>
    <t>Square Footage</t>
  </si>
  <si>
    <t>Estimated Square Footage</t>
  </si>
  <si>
    <t>2015 Status</t>
  </si>
  <si>
    <t>D&amp;D in Progress</t>
  </si>
  <si>
    <t>Deactivation</t>
  </si>
  <si>
    <t>Operating New Building</t>
  </si>
  <si>
    <t>Shutdown Pending D&amp;D</t>
  </si>
  <si>
    <t>Shutdown Pending Disposal</t>
  </si>
  <si>
    <t>Shutdown Pending Transfer</t>
  </si>
  <si>
    <t>Other: Enter Status</t>
  </si>
  <si>
    <t>Source Energy Savings Credit</t>
  </si>
  <si>
    <t>(Compilation worksheet for credit for projects that increase site energy use but save source energy.  
See: http://www.eere.energy.gov/femp/pdfs/sec502e_%20guidance.pdf)</t>
  </si>
  <si>
    <t>Primary</t>
  </si>
  <si>
    <t>Secondary</t>
  </si>
  <si>
    <t>Less</t>
  </si>
  <si>
    <t>Plus</t>
  </si>
  <si>
    <t>Current</t>
  </si>
  <si>
    <t>ECM</t>
  </si>
  <si>
    <t>NonExGSf</t>
  </si>
  <si>
    <t>GSF</t>
  </si>
  <si>
    <t>Bldg GSF (thousands)</t>
  </si>
  <si>
    <t>Ex GSF (thousands)</t>
  </si>
  <si>
    <t>Bldg Btu (BBtu)</t>
  </si>
  <si>
    <t>Ex Btu (BBtu)</t>
  </si>
  <si>
    <t>FY 2003 Energy Baseline</t>
  </si>
  <si>
    <t>SF ▲by FY 2015</t>
  </si>
  <si>
    <t>BTU ▲by FY 2015</t>
  </si>
  <si>
    <t>GAL ▲by FY 2015</t>
  </si>
  <si>
    <t>SF</t>
  </si>
  <si>
    <t>FY 2007 Water Baseline</t>
  </si>
  <si>
    <t>GSF (thousands)</t>
  </si>
  <si>
    <t>Office of Legacy Management</t>
  </si>
  <si>
    <t>LM</t>
  </si>
  <si>
    <t>DOE-LM-15011</t>
  </si>
  <si>
    <t>Ribeiro, Tracy (Fed)</t>
  </si>
  <si>
    <t>tracy.ribeiro@lm.doe.gov</t>
  </si>
  <si>
    <t>DOE-LM-15012</t>
  </si>
  <si>
    <t>Sizemore, Mary (Contractor)</t>
  </si>
  <si>
    <t>mary.sizemore@lm.doe.gov</t>
  </si>
  <si>
    <t>DOE-LM-15013</t>
  </si>
  <si>
    <t>Jacobson, Carl (Contractor)</t>
  </si>
  <si>
    <t>carl.jacobson@lm.doe.gov</t>
  </si>
  <si>
    <t>Tuba City - Solar hot-water preheating system</t>
  </si>
  <si>
    <t>Fernald - Geothermal</t>
  </si>
  <si>
    <t>Rocky Flats - Solar electric</t>
  </si>
  <si>
    <t>SOARS</t>
  </si>
  <si>
    <t>Distributed electricity generation</t>
  </si>
  <si>
    <t>Distributed thermal generation</t>
  </si>
  <si>
    <t>Standard water meters at 4 LM sites</t>
  </si>
  <si>
    <t>Potable water audits at 4 LM sites</t>
  </si>
  <si>
    <t>Water management plan</t>
  </si>
  <si>
    <t>Fernald Preserve Visitors Center</t>
  </si>
  <si>
    <t>NA</t>
  </si>
  <si>
    <t>Funding Source (Potential or Actual)</t>
  </si>
  <si>
    <t>Total Freshwater:</t>
  </si>
  <si>
    <t>Total Excluded Building EE Credit (BBtu):</t>
  </si>
  <si>
    <t>2005 - est</t>
  </si>
  <si>
    <t>CNTA SOARS telemetry</t>
  </si>
  <si>
    <t>Durango SOARS telemetry</t>
  </si>
  <si>
    <t>Grand Junction ESL SOARS telemetry</t>
  </si>
  <si>
    <t>Green River SOARS telemetry</t>
  </si>
  <si>
    <t>Lake View SOARS telemetry</t>
  </si>
  <si>
    <t>Mound SOARS telemetry</t>
  </si>
  <si>
    <t>Rifle SOARS telemetry</t>
  </si>
  <si>
    <t>Shiprock SOARS telemetry</t>
  </si>
  <si>
    <t>Salmon SOARS telemetry</t>
  </si>
  <si>
    <t>Weldon Springs SOARS telemetry</t>
  </si>
  <si>
    <t>yes</t>
  </si>
  <si>
    <t>no</t>
  </si>
  <si>
    <t>Rifle Stand pipe pumping on cell</t>
  </si>
  <si>
    <t>Monument Valley pumping</t>
  </si>
  <si>
    <t>Shiprock Bob Lee Wash pumping</t>
  </si>
  <si>
    <t>Tuba City - Installation of deaerator on evaporator feed lines</t>
  </si>
  <si>
    <t>Rocky Flats telemetry and/or samplers</t>
  </si>
  <si>
    <t>Rocky Flats pumping</t>
  </si>
  <si>
    <t>Durango evaporation pond  pumping</t>
  </si>
  <si>
    <t>Tuba City street light</t>
  </si>
  <si>
    <t>Tuba City concentrating thermal</t>
  </si>
  <si>
    <t>Weldon Spring Interpretive Center</t>
  </si>
  <si>
    <t>final</t>
  </si>
  <si>
    <t>(970) 248-6621</t>
  </si>
  <si>
    <t>Fernald - Shutting off OSDF valve house ventilation fans and lowering fans</t>
  </si>
  <si>
    <t>Fernald - Lowering thermostat in extraction well pump houses</t>
  </si>
  <si>
    <t>Fernald - Removal of unneeded street lights</t>
  </si>
  <si>
    <t xml:space="preserve">Fernald - Turning off lights during day time hours </t>
  </si>
  <si>
    <t>Tuba City Solar Thermal</t>
  </si>
  <si>
    <t>Alternative Fuel Vehicle Leasing</t>
  </si>
  <si>
    <t xml:space="preserve"> $-   </t>
  </si>
  <si>
    <t>Hybrid Electric Vehicles Leasing</t>
  </si>
  <si>
    <t>More Fuel-Efficient Vehicles Leasing</t>
  </si>
  <si>
    <t xml:space="preserve"> Once GSA allows B20 fuel - B20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</si>
</sst>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_);\(#,##0.0\)"/>
    <numFmt numFmtId="173" formatCode="_(* #,##0.0_);_(* \(#,##0.0\);_(* &quot;-&quot;??_);_(@_)"/>
    <numFmt numFmtId="174" formatCode="_(* #,##0.0_);_(* \(#,##0.0\);_(* &quot;-&quot;?_);_(@_)"/>
    <numFmt numFmtId="175" formatCode="_(* #,##0_);_(* \(#,##0\);_(* &quot;-&quot;??_);_(@_)"/>
    <numFmt numFmtId="176" formatCode="_(* #,##0_);_(* \(#,##0\);_(* &quot;-&quot;?_);_(@_)"/>
    <numFmt numFmtId="177" formatCode="_(* #,##0.00_);_(* \(#,##0.00\);_(* &quot;-&quot;?_);_(@_)"/>
    <numFmt numFmtId="178" formatCode="#,##0.0"/>
    <numFmt numFmtId="179" formatCode="&quot;$&quot;#,##0.0"/>
    <numFmt numFmtId="180" formatCode="&quot;$&quot;#,##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0.000000"/>
    <numFmt numFmtId="188" formatCode="0.00000"/>
    <numFmt numFmtId="189" formatCode="0.0000"/>
    <numFmt numFmtId="190" formatCode="0.000"/>
    <numFmt numFmtId="191" formatCode="#,##0.000"/>
    <numFmt numFmtId="192" formatCode="#,##0.0000"/>
    <numFmt numFmtId="193" formatCode="#,##0.00000"/>
    <numFmt numFmtId="194" formatCode="#,##0.000000"/>
    <numFmt numFmtId="195" formatCode="#,##0.0000000"/>
    <numFmt numFmtId="196" formatCode="#,##0.00000000"/>
    <numFmt numFmtId="197" formatCode="&quot;$&quot;#,##0.00"/>
    <numFmt numFmtId="198" formatCode="0.000%"/>
    <numFmt numFmtId="199" formatCode="0.0000%"/>
    <numFmt numFmtId="200" formatCode="0.00000%"/>
    <numFmt numFmtId="201" formatCode="00000\-0000"/>
    <numFmt numFmtId="202" formatCode="00000"/>
    <numFmt numFmtId="203" formatCode="&quot;$&quot;#,##0.0_);[Red]\(&quot;$&quot;#,##0.0\)"/>
    <numFmt numFmtId="204" formatCode="_(&quot;$&quot;* #,##0_);_(&quot;$&quot;* \(#,##0\);_(&quot;$&quot;* &quot;-&quot;??_);_(@_)"/>
    <numFmt numFmtId="205" formatCode="_(* #,##0.000_);_(* \(#,##0.000\);_(* &quot;-&quot;??_);_(@_)"/>
    <numFmt numFmtId="206" formatCode="[$-409]dddd\,\ mmmm\ dd\,\ yyyy"/>
    <numFmt numFmtId="207" formatCode="_(&quot;$&quot;* #,##0.0_);_(&quot;$&quot;* \(#,##0.0\);_(&quot;$&quot;* &quot;-&quot;??_);_(@_)"/>
    <numFmt numFmtId="208" formatCode="yyyy"/>
    <numFmt numFmtId="209" formatCode="m/d/yy;@"/>
    <numFmt numFmtId="210" formatCode="&quot;$&quot;#,##0.000"/>
  </numFmts>
  <fonts count="48">
    <font>
      <sz val="10"/>
      <name val="Arial"/>
      <family val="0"/>
    </font>
    <font>
      <u val="single"/>
      <sz val="10"/>
      <color indexed="12"/>
      <name val="Arial"/>
      <family val="2"/>
    </font>
    <font>
      <u val="single"/>
      <sz val="10"/>
      <color indexed="36"/>
      <name val="Arial"/>
      <family val="2"/>
    </font>
    <font>
      <sz val="8"/>
      <name val="Tahoma"/>
      <family val="2"/>
    </font>
    <font>
      <sz val="8"/>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2"/>
      <name val="Times New Roman"/>
      <family val="1"/>
    </font>
    <font>
      <b/>
      <sz val="10"/>
      <name val="Times New Roman"/>
      <family val="1"/>
    </font>
    <font>
      <i/>
      <sz val="10"/>
      <name val="Times New Roman"/>
      <family val="1"/>
    </font>
    <font>
      <b/>
      <u val="single"/>
      <sz val="12"/>
      <name val="Times New Roman"/>
      <family val="1"/>
    </font>
    <font>
      <b/>
      <sz val="14"/>
      <name val="Times New Roman"/>
      <family val="1"/>
    </font>
    <font>
      <b/>
      <sz val="10"/>
      <color indexed="12"/>
      <name val="Times New Roman"/>
      <family val="1"/>
    </font>
    <font>
      <sz val="10"/>
      <color indexed="12"/>
      <name val="Times New Roman"/>
      <family val="1"/>
    </font>
    <font>
      <u val="single"/>
      <sz val="10"/>
      <name val="Times New Roman"/>
      <family val="1"/>
    </font>
    <font>
      <sz val="10"/>
      <color indexed="10"/>
      <name val="Times New Roman"/>
      <family val="1"/>
    </font>
    <font>
      <b/>
      <vertAlign val="subscript"/>
      <sz val="10"/>
      <name val="Times New Roman"/>
      <family val="1"/>
    </font>
    <font>
      <sz val="14"/>
      <name val="Times New Roman"/>
      <family val="1"/>
    </font>
    <font>
      <sz val="9"/>
      <name val="Times New Roman"/>
      <family val="1"/>
    </font>
    <font>
      <b/>
      <sz val="10"/>
      <color indexed="8"/>
      <name val="Times New Roman"/>
      <family val="1"/>
    </font>
    <font>
      <i/>
      <sz val="8"/>
      <name val="Tahoma"/>
      <family val="2"/>
    </font>
    <font>
      <b/>
      <sz val="10"/>
      <color indexed="39"/>
      <name val="Times New Roman"/>
      <family val="1"/>
    </font>
    <font>
      <sz val="9"/>
      <color indexed="10"/>
      <name val="Times New Roman"/>
      <family val="1"/>
    </font>
    <font>
      <b/>
      <u val="single"/>
      <sz val="10"/>
      <name val="Times New Roman"/>
      <family val="1"/>
    </font>
    <font>
      <b/>
      <i/>
      <sz val="10"/>
      <color indexed="12"/>
      <name val="Times New Roman"/>
      <family val="1"/>
    </font>
    <font>
      <b/>
      <i/>
      <sz val="10"/>
      <name val="Times New Roman"/>
      <family val="1"/>
    </font>
    <font>
      <u val="single"/>
      <sz val="8"/>
      <name val="Tahoma"/>
      <family val="2"/>
    </font>
    <font>
      <b/>
      <i/>
      <sz val="10"/>
      <color indexed="20"/>
      <name val="Times New Roman"/>
      <family val="1"/>
    </font>
    <font>
      <b/>
      <i/>
      <u val="single"/>
      <sz val="10"/>
      <name val="Times New Roman"/>
      <family val="1"/>
    </font>
    <font>
      <b/>
      <sz val="10"/>
      <name val="Arial"/>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35"/>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color indexed="63"/>
      </bottom>
    </border>
    <border>
      <left style="medium"/>
      <right style="thin"/>
      <top style="thin"/>
      <bottom style="thin"/>
    </border>
    <border>
      <left>
        <color indexed="63"/>
      </left>
      <right style="medium"/>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diagonalUp="1" diagonalDown="1">
      <left style="thin"/>
      <right style="thin"/>
      <top style="thin"/>
      <bottom style="thin"/>
      <diagonal style="thin"/>
    </border>
    <border>
      <left>
        <color indexed="63"/>
      </left>
      <right style="thin"/>
      <top style="medium"/>
      <bottom style="medium"/>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color indexed="63"/>
      </right>
      <top style="medium"/>
      <bottom style="mediu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4"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632">
    <xf numFmtId="0" fontId="0" fillId="0" borderId="0" xfId="0" applyAlignment="1">
      <alignment/>
    </xf>
    <xf numFmtId="186" fontId="23" fillId="0" borderId="0" xfId="0" applyNumberFormat="1" applyFont="1" applyFill="1" applyBorder="1" applyAlignment="1" applyProtection="1">
      <alignment horizontal="center" vertical="center" wrapText="1"/>
      <protection/>
    </xf>
    <xf numFmtId="0" fontId="24" fillId="0" borderId="0" xfId="0" applyFont="1" applyAlignment="1" applyProtection="1">
      <alignment vertical="center"/>
      <protection/>
    </xf>
    <xf numFmtId="0" fontId="25" fillId="0" borderId="0" xfId="0" applyFont="1" applyAlignment="1" applyProtection="1">
      <alignment horizontal="right" vertical="center"/>
      <protection/>
    </xf>
    <xf numFmtId="0" fontId="25" fillId="0" borderId="0" xfId="0" applyFont="1" applyAlignment="1" applyProtection="1">
      <alignment vertical="center"/>
      <protection/>
    </xf>
    <xf numFmtId="0" fontId="23" fillId="0" borderId="0" xfId="0" applyFont="1" applyAlignment="1" applyProtection="1">
      <alignment vertical="center"/>
      <protection/>
    </xf>
    <xf numFmtId="0" fontId="23" fillId="4" borderId="10" xfId="0" applyFont="1" applyFill="1" applyBorder="1" applyAlignment="1" applyProtection="1">
      <alignment vertical="center" wrapText="1"/>
      <protection/>
    </xf>
    <xf numFmtId="3" fontId="23" fillId="4" borderId="10" xfId="0" applyNumberFormat="1" applyFont="1" applyFill="1" applyBorder="1" applyAlignment="1" applyProtection="1">
      <alignment vertical="center"/>
      <protection/>
    </xf>
    <xf numFmtId="186" fontId="23" fillId="4" borderId="10" xfId="0" applyNumberFormat="1" applyFont="1" applyFill="1" applyBorder="1" applyAlignment="1" applyProtection="1">
      <alignment vertical="center"/>
      <protection/>
    </xf>
    <xf numFmtId="0" fontId="23" fillId="22" borderId="10" xfId="0" applyFont="1" applyFill="1" applyBorder="1" applyAlignment="1" applyProtection="1">
      <alignment vertical="center" wrapText="1"/>
      <protection/>
    </xf>
    <xf numFmtId="178" fontId="23" fillId="22" borderId="10" xfId="0" applyNumberFormat="1" applyFont="1" applyFill="1" applyBorder="1" applyAlignment="1" applyProtection="1">
      <alignment vertical="center"/>
      <protection/>
    </xf>
    <xf numFmtId="186" fontId="23" fillId="22" borderId="10" xfId="0" applyNumberFormat="1" applyFont="1" applyFill="1" applyBorder="1" applyAlignment="1" applyProtection="1">
      <alignment vertical="center"/>
      <protection/>
    </xf>
    <xf numFmtId="0" fontId="23" fillId="24" borderId="10" xfId="0" applyFont="1" applyFill="1" applyBorder="1" applyAlignment="1" applyProtection="1">
      <alignment vertical="center" wrapText="1"/>
      <protection/>
    </xf>
    <xf numFmtId="186" fontId="23" fillId="24" borderId="10" xfId="0" applyNumberFormat="1" applyFont="1" applyFill="1" applyBorder="1" applyAlignment="1" applyProtection="1">
      <alignment horizontal="right" vertical="center" wrapText="1"/>
      <protection/>
    </xf>
    <xf numFmtId="0" fontId="23" fillId="0" borderId="0" xfId="0" applyFont="1" applyBorder="1" applyAlignment="1" applyProtection="1">
      <alignment horizontal="right" vertical="center"/>
      <protection/>
    </xf>
    <xf numFmtId="179" fontId="23" fillId="0" borderId="0" xfId="0" applyNumberFormat="1" applyFont="1" applyBorder="1" applyAlignment="1" applyProtection="1">
      <alignment vertical="center"/>
      <protection/>
    </xf>
    <xf numFmtId="178" fontId="23" fillId="0" borderId="0" xfId="0" applyNumberFormat="1" applyFont="1" applyBorder="1" applyAlignment="1" applyProtection="1">
      <alignment vertical="center"/>
      <protection/>
    </xf>
    <xf numFmtId="178" fontId="23" fillId="24" borderId="10" xfId="0" applyNumberFormat="1" applyFont="1" applyFill="1" applyBorder="1" applyAlignment="1" applyProtection="1">
      <alignment vertical="center"/>
      <protection/>
    </xf>
    <xf numFmtId="186" fontId="23" fillId="24" borderId="10" xfId="0" applyNumberFormat="1" applyFont="1" applyFill="1" applyBorder="1" applyAlignment="1" applyProtection="1">
      <alignment vertical="center"/>
      <protection/>
    </xf>
    <xf numFmtId="0" fontId="27" fillId="0" borderId="0" xfId="0" applyFont="1" applyAlignment="1" applyProtection="1">
      <alignment vertical="center"/>
      <protection/>
    </xf>
    <xf numFmtId="172" fontId="23" fillId="4" borderId="10" xfId="0" applyNumberFormat="1" applyFont="1" applyFill="1" applyBorder="1" applyAlignment="1" applyProtection="1">
      <alignment vertical="center"/>
      <protection/>
    </xf>
    <xf numFmtId="172" fontId="23" fillId="4" borderId="10" xfId="42" applyNumberFormat="1" applyFont="1" applyFill="1" applyBorder="1" applyAlignment="1" applyProtection="1">
      <alignment horizontal="right" vertical="center"/>
      <protection/>
    </xf>
    <xf numFmtId="172" fontId="23" fillId="0" borderId="0" xfId="42" applyNumberFormat="1" applyFont="1" applyFill="1" applyBorder="1" applyAlignment="1" applyProtection="1">
      <alignment horizontal="right" vertical="center"/>
      <protection/>
    </xf>
    <xf numFmtId="179" fontId="23" fillId="22" borderId="10" xfId="42" applyNumberFormat="1" applyFont="1" applyFill="1" applyBorder="1" applyAlignment="1" applyProtection="1">
      <alignment vertical="center"/>
      <protection/>
    </xf>
    <xf numFmtId="178" fontId="23" fillId="20" borderId="10" xfId="0" applyNumberFormat="1" applyFont="1" applyFill="1" applyBorder="1" applyAlignment="1" applyProtection="1">
      <alignment vertical="center"/>
      <protection/>
    </xf>
    <xf numFmtId="178" fontId="23" fillId="22" borderId="10" xfId="42" applyNumberFormat="1" applyFont="1" applyFill="1" applyBorder="1" applyAlignment="1" applyProtection="1">
      <alignment horizontal="right" vertical="center"/>
      <protection/>
    </xf>
    <xf numFmtId="178" fontId="23" fillId="0" borderId="0" xfId="42" applyNumberFormat="1" applyFont="1" applyFill="1" applyBorder="1" applyAlignment="1" applyProtection="1">
      <alignment horizontal="right" vertical="center"/>
      <protection/>
    </xf>
    <xf numFmtId="178" fontId="30" fillId="0" borderId="0" xfId="42" applyNumberFormat="1" applyFont="1" applyFill="1" applyBorder="1" applyAlignment="1" applyProtection="1">
      <alignment horizontal="right" vertical="center"/>
      <protection/>
    </xf>
    <xf numFmtId="3" fontId="23" fillId="11" borderId="10" xfId="42" applyNumberFormat="1" applyFont="1" applyFill="1" applyBorder="1" applyAlignment="1" applyProtection="1">
      <alignment horizontal="center" vertical="center"/>
      <protection/>
    </xf>
    <xf numFmtId="178" fontId="23" fillId="11" borderId="10" xfId="42" applyNumberFormat="1" applyFont="1" applyFill="1" applyBorder="1" applyAlignment="1" applyProtection="1">
      <alignment horizontal="right" vertical="center"/>
      <protection/>
    </xf>
    <xf numFmtId="185" fontId="23" fillId="4" borderId="10" xfId="0" applyNumberFormat="1" applyFont="1" applyFill="1" applyBorder="1" applyAlignment="1" applyProtection="1">
      <alignment vertical="center"/>
      <protection/>
    </xf>
    <xf numFmtId="185" fontId="23" fillId="24" borderId="10" xfId="0" applyNumberFormat="1" applyFont="1" applyFill="1" applyBorder="1" applyAlignment="1" applyProtection="1">
      <alignment vertical="center"/>
      <protection/>
    </xf>
    <xf numFmtId="185" fontId="23" fillId="11" borderId="10" xfId="0" applyNumberFormat="1" applyFont="1" applyFill="1" applyBorder="1" applyAlignment="1" applyProtection="1">
      <alignment vertical="center"/>
      <protection/>
    </xf>
    <xf numFmtId="178" fontId="23" fillId="4" borderId="10" xfId="0" applyNumberFormat="1" applyFont="1" applyFill="1" applyBorder="1" applyAlignment="1" applyProtection="1">
      <alignment horizontal="right" vertical="center"/>
      <protection/>
    </xf>
    <xf numFmtId="179" fontId="23" fillId="4" borderId="10" xfId="0" applyNumberFormat="1" applyFont="1" applyFill="1" applyBorder="1" applyAlignment="1" applyProtection="1">
      <alignment horizontal="right" vertical="center"/>
      <protection/>
    </xf>
    <xf numFmtId="178" fontId="23" fillId="24" borderId="10" xfId="0" applyNumberFormat="1" applyFont="1" applyFill="1" applyBorder="1" applyAlignment="1" applyProtection="1">
      <alignment horizontal="right" vertical="center"/>
      <protection/>
    </xf>
    <xf numFmtId="179" fontId="23" fillId="24" borderId="10" xfId="0" applyNumberFormat="1" applyFont="1" applyFill="1" applyBorder="1" applyAlignment="1" applyProtection="1">
      <alignment horizontal="right" vertical="center"/>
      <protection/>
    </xf>
    <xf numFmtId="178" fontId="23" fillId="11" borderId="10" xfId="0" applyNumberFormat="1" applyFont="1" applyFill="1" applyBorder="1" applyAlignment="1" applyProtection="1">
      <alignment horizontal="right" vertical="center"/>
      <protection/>
    </xf>
    <xf numFmtId="179" fontId="23" fillId="11" borderId="10" xfId="0" applyNumberFormat="1" applyFont="1" applyFill="1" applyBorder="1" applyAlignment="1" applyProtection="1">
      <alignment horizontal="right" vertical="center"/>
      <protection/>
    </xf>
    <xf numFmtId="178" fontId="23" fillId="0" borderId="0" xfId="0" applyNumberFormat="1" applyFont="1" applyBorder="1" applyAlignment="1" applyProtection="1">
      <alignment horizontal="right" vertical="center"/>
      <protection/>
    </xf>
    <xf numFmtId="178" fontId="23" fillId="0" borderId="10" xfId="0" applyNumberFormat="1" applyFont="1" applyBorder="1" applyAlignment="1" applyProtection="1">
      <alignment vertical="center"/>
      <protection/>
    </xf>
    <xf numFmtId="172" fontId="23" fillId="0" borderId="10" xfId="0" applyNumberFormat="1" applyFont="1" applyBorder="1" applyAlignment="1" applyProtection="1">
      <alignment vertical="center"/>
      <protection/>
    </xf>
    <xf numFmtId="186" fontId="23" fillId="0" borderId="10" xfId="0" applyNumberFormat="1" applyFont="1" applyBorder="1" applyAlignment="1" applyProtection="1">
      <alignment vertical="center"/>
      <protection/>
    </xf>
    <xf numFmtId="178" fontId="23" fillId="4" borderId="11" xfId="0" applyNumberFormat="1" applyFont="1" applyFill="1" applyBorder="1" applyAlignment="1" applyProtection="1">
      <alignment vertical="center"/>
      <protection/>
    </xf>
    <xf numFmtId="178" fontId="23" fillId="4" borderId="10" xfId="0" applyNumberFormat="1" applyFont="1" applyFill="1" applyBorder="1" applyAlignment="1" applyProtection="1">
      <alignment vertical="center"/>
      <protection/>
    </xf>
    <xf numFmtId="9" fontId="23" fillId="2" borderId="10" xfId="0" applyNumberFormat="1" applyFont="1" applyFill="1" applyBorder="1" applyAlignment="1" applyProtection="1">
      <alignment horizontal="right" vertical="center"/>
      <protection/>
    </xf>
    <xf numFmtId="0" fontId="25" fillId="0" borderId="0" xfId="0" applyFont="1" applyAlignment="1" applyProtection="1">
      <alignment horizontal="center" vertical="center"/>
      <protection/>
    </xf>
    <xf numFmtId="197" fontId="23" fillId="0" borderId="0" xfId="0" applyNumberFormat="1" applyFont="1" applyAlignment="1" applyProtection="1">
      <alignment vertical="center"/>
      <protection/>
    </xf>
    <xf numFmtId="0" fontId="23" fillId="0" borderId="12" xfId="0" applyFont="1" applyBorder="1" applyAlignment="1" applyProtection="1">
      <alignment horizontal="left" vertical="center"/>
      <protection/>
    </xf>
    <xf numFmtId="0" fontId="23" fillId="0" borderId="12" xfId="0" applyFont="1" applyBorder="1" applyAlignment="1" applyProtection="1">
      <alignment vertical="center"/>
      <protection/>
    </xf>
    <xf numFmtId="0" fontId="23" fillId="0" borderId="13" xfId="0" applyFont="1" applyBorder="1" applyAlignment="1" applyProtection="1">
      <alignment vertical="center"/>
      <protection/>
    </xf>
    <xf numFmtId="0" fontId="30"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31" fillId="0" borderId="0" xfId="0" applyFont="1" applyAlignment="1" applyProtection="1">
      <alignment vertical="center"/>
      <protection/>
    </xf>
    <xf numFmtId="197" fontId="31" fillId="0" borderId="0" xfId="0" applyNumberFormat="1" applyFont="1" applyAlignment="1" applyProtection="1">
      <alignment vertical="center"/>
      <protection/>
    </xf>
    <xf numFmtId="0" fontId="25" fillId="20" borderId="10" xfId="0" applyFont="1" applyFill="1" applyBorder="1" applyAlignment="1" applyProtection="1">
      <alignment horizontal="center" vertical="center" wrapText="1"/>
      <protection/>
    </xf>
    <xf numFmtId="0" fontId="25" fillId="20" borderId="14" xfId="0" applyFont="1" applyFill="1" applyBorder="1" applyAlignment="1" applyProtection="1">
      <alignment horizontal="center" vertical="center" wrapText="1"/>
      <protection/>
    </xf>
    <xf numFmtId="0" fontId="25" fillId="20" borderId="15" xfId="0" applyFont="1" applyFill="1" applyBorder="1" applyAlignment="1" applyProtection="1">
      <alignment horizontal="center" vertical="center" wrapText="1"/>
      <protection/>
    </xf>
    <xf numFmtId="0" fontId="23" fillId="4" borderId="10" xfId="0" applyFont="1" applyFill="1" applyBorder="1" applyAlignment="1" applyProtection="1">
      <alignment vertical="center"/>
      <protection/>
    </xf>
    <xf numFmtId="0" fontId="23" fillId="20" borderId="16" xfId="0" applyFont="1" applyFill="1" applyBorder="1" applyAlignment="1" applyProtection="1">
      <alignment vertical="center"/>
      <protection/>
    </xf>
    <xf numFmtId="0" fontId="23" fillId="20" borderId="13" xfId="0" applyFont="1" applyFill="1" applyBorder="1" applyAlignment="1" applyProtection="1">
      <alignment vertical="center"/>
      <protection/>
    </xf>
    <xf numFmtId="172" fontId="23" fillId="0" borderId="0" xfId="0" applyNumberFormat="1" applyFont="1" applyAlignment="1" applyProtection="1">
      <alignment vertical="center"/>
      <protection/>
    </xf>
    <xf numFmtId="186" fontId="23" fillId="0" borderId="0" xfId="60" applyNumberFormat="1" applyFont="1" applyAlignment="1" applyProtection="1">
      <alignment vertical="center"/>
      <protection/>
    </xf>
    <xf numFmtId="0" fontId="23" fillId="4" borderId="10" xfId="0" applyFont="1" applyFill="1" applyBorder="1" applyAlignment="1" applyProtection="1">
      <alignment horizontal="right" vertical="center" wrapText="1"/>
      <protection/>
    </xf>
    <xf numFmtId="172" fontId="23" fillId="0" borderId="0" xfId="0" applyNumberFormat="1" applyFont="1" applyAlignment="1" applyProtection="1">
      <alignment horizontal="right" vertical="center" wrapText="1"/>
      <protection/>
    </xf>
    <xf numFmtId="186" fontId="23" fillId="0" borderId="0" xfId="60" applyNumberFormat="1" applyFont="1" applyAlignment="1" applyProtection="1">
      <alignment horizontal="left" vertical="center"/>
      <protection/>
    </xf>
    <xf numFmtId="0" fontId="23" fillId="22" borderId="10" xfId="0" applyFont="1" applyFill="1" applyBorder="1" applyAlignment="1" applyProtection="1">
      <alignment vertical="center"/>
      <protection/>
    </xf>
    <xf numFmtId="178" fontId="23" fillId="20" borderId="11" xfId="0" applyNumberFormat="1" applyFont="1" applyFill="1" applyBorder="1" applyAlignment="1" applyProtection="1">
      <alignment horizontal="right" vertical="center"/>
      <protection/>
    </xf>
    <xf numFmtId="178" fontId="23" fillId="20" borderId="16" xfId="0" applyNumberFormat="1" applyFont="1" applyFill="1" applyBorder="1" applyAlignment="1" applyProtection="1">
      <alignment vertical="center"/>
      <protection/>
    </xf>
    <xf numFmtId="178" fontId="23" fillId="0" borderId="0" xfId="0" applyNumberFormat="1" applyFont="1" applyAlignment="1" applyProtection="1">
      <alignment vertical="center"/>
      <protection/>
    </xf>
    <xf numFmtId="178" fontId="23" fillId="22" borderId="10" xfId="0" applyNumberFormat="1" applyFont="1" applyFill="1" applyBorder="1" applyAlignment="1" applyProtection="1">
      <alignment horizontal="right" vertical="center" wrapText="1"/>
      <protection/>
    </xf>
    <xf numFmtId="0" fontId="25" fillId="20" borderId="10" xfId="0" applyFont="1" applyFill="1" applyBorder="1" applyAlignment="1" applyProtection="1">
      <alignment horizontal="center" vertical="center"/>
      <protection/>
    </xf>
    <xf numFmtId="7" fontId="23" fillId="0" borderId="0" xfId="0" applyNumberFormat="1" applyFont="1" applyAlignment="1" applyProtection="1">
      <alignment vertical="center"/>
      <protection/>
    </xf>
    <xf numFmtId="0" fontId="25" fillId="0" borderId="0" xfId="0" applyFont="1" applyFill="1" applyAlignment="1" applyProtection="1">
      <alignment vertical="center"/>
      <protection/>
    </xf>
    <xf numFmtId="178" fontId="25" fillId="20" borderId="10" xfId="0" applyNumberFormat="1" applyFont="1" applyFill="1" applyBorder="1" applyAlignment="1" applyProtection="1">
      <alignment horizontal="center" vertical="center" wrapText="1"/>
      <protection/>
    </xf>
    <xf numFmtId="0" fontId="23" fillId="0" borderId="0" xfId="0" applyFont="1" applyFill="1" applyAlignment="1" applyProtection="1">
      <alignment vertical="center" wrapText="1"/>
      <protection/>
    </xf>
    <xf numFmtId="178" fontId="25" fillId="20" borderId="14" xfId="0" applyNumberFormat="1" applyFont="1" applyFill="1" applyBorder="1" applyAlignment="1" applyProtection="1">
      <alignment horizontal="center" vertical="center" wrapText="1"/>
      <protection/>
    </xf>
    <xf numFmtId="0" fontId="23" fillId="0" borderId="0" xfId="0" applyFont="1" applyFill="1" applyBorder="1" applyAlignment="1" applyProtection="1">
      <alignment horizontal="right" vertical="center" wrapText="1"/>
      <protection/>
    </xf>
    <xf numFmtId="0" fontId="23" fillId="0" borderId="0" xfId="0" applyFont="1" applyFill="1" applyBorder="1" applyAlignment="1" applyProtection="1">
      <alignment horizontal="right" vertical="center"/>
      <protection/>
    </xf>
    <xf numFmtId="3" fontId="30" fillId="0" borderId="0" xfId="42" applyNumberFormat="1" applyFont="1" applyFill="1" applyBorder="1" applyAlignment="1" applyProtection="1">
      <alignment horizontal="center" vertical="center"/>
      <protection/>
    </xf>
    <xf numFmtId="178" fontId="30" fillId="0" borderId="0" xfId="42" applyNumberFormat="1" applyFont="1" applyBorder="1" applyAlignment="1" applyProtection="1">
      <alignment vertical="center"/>
      <protection/>
    </xf>
    <xf numFmtId="179" fontId="30" fillId="0" borderId="0" xfId="42" applyNumberFormat="1" applyFont="1" applyBorder="1" applyAlignment="1" applyProtection="1">
      <alignment vertical="center"/>
      <protection/>
    </xf>
    <xf numFmtId="3" fontId="23" fillId="0" borderId="0" xfId="0" applyNumberFormat="1" applyFont="1" applyAlignment="1" applyProtection="1">
      <alignment horizontal="center" vertical="center"/>
      <protection/>
    </xf>
    <xf numFmtId="180" fontId="23" fillId="0" borderId="0" xfId="0" applyNumberFormat="1" applyFont="1" applyAlignment="1" applyProtection="1">
      <alignment horizontal="center" vertical="center"/>
      <protection/>
    </xf>
    <xf numFmtId="0" fontId="23" fillId="0" borderId="0" xfId="0" applyFont="1" applyAlignment="1" applyProtection="1">
      <alignment horizontal="center" vertical="center"/>
      <protection/>
    </xf>
    <xf numFmtId="0" fontId="23" fillId="0" borderId="0" xfId="0" applyFont="1" applyBorder="1" applyAlignment="1" applyProtection="1">
      <alignment horizontal="right" vertical="center" wrapText="1"/>
      <protection/>
    </xf>
    <xf numFmtId="0" fontId="23" fillId="0" borderId="0" xfId="0" applyFont="1" applyBorder="1" applyAlignment="1" applyProtection="1">
      <alignment vertical="center" wrapText="1"/>
      <protection/>
    </xf>
    <xf numFmtId="0" fontId="23" fillId="0" borderId="0" xfId="0" applyFont="1" applyAlignment="1" applyProtection="1">
      <alignment vertical="center" wrapText="1"/>
      <protection/>
    </xf>
    <xf numFmtId="0" fontId="23" fillId="0" borderId="0" xfId="0" applyFont="1" applyBorder="1" applyAlignment="1" applyProtection="1">
      <alignment horizontal="center" vertical="center" wrapText="1"/>
      <protection/>
    </xf>
    <xf numFmtId="0" fontId="23" fillId="20" borderId="10" xfId="0" applyFont="1" applyFill="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32" fillId="0" borderId="0" xfId="0" applyFont="1" applyAlignment="1" applyProtection="1">
      <alignment vertical="center" wrapText="1"/>
      <protection/>
    </xf>
    <xf numFmtId="43" fontId="23" fillId="0" borderId="0" xfId="42" applyFont="1" applyAlignment="1" applyProtection="1">
      <alignment vertical="center"/>
      <protection/>
    </xf>
    <xf numFmtId="0" fontId="25" fillId="0" borderId="0" xfId="0" applyFont="1" applyFill="1" applyBorder="1" applyAlignment="1" applyProtection="1">
      <alignment vertical="center"/>
      <protection/>
    </xf>
    <xf numFmtId="0" fontId="23" fillId="0" borderId="0" xfId="0" applyFont="1" applyFill="1" applyBorder="1" applyAlignment="1" applyProtection="1">
      <alignment horizontal="centerContinuous" vertical="center"/>
      <protection/>
    </xf>
    <xf numFmtId="0" fontId="23" fillId="20" borderId="17" xfId="0" applyFont="1" applyFill="1" applyBorder="1" applyAlignment="1" applyProtection="1">
      <alignment vertical="center"/>
      <protection/>
    </xf>
    <xf numFmtId="178" fontId="23" fillId="20" borderId="18" xfId="42" applyNumberFormat="1" applyFont="1" applyFill="1" applyBorder="1" applyAlignment="1" applyProtection="1">
      <alignment vertical="center"/>
      <protection/>
    </xf>
    <xf numFmtId="179" fontId="23" fillId="20" borderId="18" xfId="42" applyNumberFormat="1" applyFont="1" applyFill="1" applyBorder="1" applyAlignment="1" applyProtection="1">
      <alignment vertical="center"/>
      <protection/>
    </xf>
    <xf numFmtId="0" fontId="25" fillId="20" borderId="19" xfId="0" applyFont="1" applyFill="1" applyBorder="1" applyAlignment="1" applyProtection="1">
      <alignment horizontal="center" vertical="center" wrapText="1"/>
      <protection/>
    </xf>
    <xf numFmtId="0" fontId="25" fillId="20" borderId="11" xfId="0" applyFont="1" applyFill="1" applyBorder="1" applyAlignment="1" applyProtection="1">
      <alignment horizontal="center" vertical="center" wrapText="1"/>
      <protection/>
    </xf>
    <xf numFmtId="0" fontId="25" fillId="20" borderId="16" xfId="0" applyFont="1" applyFill="1" applyBorder="1" applyAlignment="1" applyProtection="1">
      <alignment vertical="center" wrapText="1"/>
      <protection/>
    </xf>
    <xf numFmtId="0" fontId="23" fillId="0" borderId="0" xfId="0" applyFont="1" applyFill="1" applyBorder="1" applyAlignment="1" applyProtection="1">
      <alignment vertical="center"/>
      <protection/>
    </xf>
    <xf numFmtId="0" fontId="25" fillId="20" borderId="10" xfId="0" applyFont="1" applyFill="1" applyBorder="1" applyAlignment="1" applyProtection="1">
      <alignment horizontal="centerContinuous" vertical="center" wrapText="1"/>
      <protection/>
    </xf>
    <xf numFmtId="178" fontId="25" fillId="20" borderId="0" xfId="42" applyNumberFormat="1" applyFont="1" applyFill="1" applyBorder="1" applyAlignment="1" applyProtection="1">
      <alignment vertical="center"/>
      <protection/>
    </xf>
    <xf numFmtId="178" fontId="25" fillId="20" borderId="10" xfId="42" applyNumberFormat="1" applyFont="1" applyFill="1" applyBorder="1" applyAlignment="1" applyProtection="1">
      <alignment horizontal="center" vertical="center"/>
      <protection/>
    </xf>
    <xf numFmtId="0" fontId="25" fillId="20" borderId="19" xfId="0" applyFont="1" applyFill="1" applyBorder="1" applyAlignment="1" applyProtection="1">
      <alignment vertical="center"/>
      <protection/>
    </xf>
    <xf numFmtId="0" fontId="25" fillId="20" borderId="11" xfId="0" applyFont="1" applyFill="1" applyBorder="1" applyAlignment="1" applyProtection="1">
      <alignment horizontal="centerContinuous" vertical="center"/>
      <protection/>
    </xf>
    <xf numFmtId="0" fontId="25" fillId="20" borderId="10" xfId="0" applyFont="1" applyFill="1" applyBorder="1" applyAlignment="1" applyProtection="1">
      <alignment horizontal="centerContinuous" vertical="center"/>
      <protection/>
    </xf>
    <xf numFmtId="0" fontId="25" fillId="20" borderId="14" xfId="0" applyFont="1" applyFill="1" applyBorder="1" applyAlignment="1" applyProtection="1">
      <alignment horizontal="center" vertical="center"/>
      <protection/>
    </xf>
    <xf numFmtId="0" fontId="25" fillId="20" borderId="16" xfId="0" applyFont="1" applyFill="1" applyBorder="1" applyAlignment="1" applyProtection="1">
      <alignment vertical="center"/>
      <protection/>
    </xf>
    <xf numFmtId="0" fontId="25" fillId="20" borderId="17" xfId="0" applyFont="1" applyFill="1" applyBorder="1" applyAlignment="1" applyProtection="1">
      <alignment vertical="center"/>
      <protection/>
    </xf>
    <xf numFmtId="0" fontId="25" fillId="20" borderId="18" xfId="0" applyFont="1" applyFill="1" applyBorder="1" applyAlignment="1" applyProtection="1">
      <alignment vertical="center"/>
      <protection/>
    </xf>
    <xf numFmtId="0" fontId="25" fillId="20" borderId="20" xfId="0" applyFont="1" applyFill="1" applyBorder="1" applyAlignment="1" applyProtection="1">
      <alignment vertical="center"/>
      <protection/>
    </xf>
    <xf numFmtId="178" fontId="30" fillId="20" borderId="13" xfId="42" applyNumberFormat="1" applyFont="1" applyFill="1" applyBorder="1" applyAlignment="1" applyProtection="1">
      <alignment vertical="center"/>
      <protection/>
    </xf>
    <xf numFmtId="179" fontId="30" fillId="20" borderId="13" xfId="42" applyNumberFormat="1" applyFont="1" applyFill="1" applyBorder="1" applyAlignment="1" applyProtection="1">
      <alignment vertical="center"/>
      <protection/>
    </xf>
    <xf numFmtId="179" fontId="30" fillId="20" borderId="11" xfId="42" applyNumberFormat="1" applyFont="1" applyFill="1" applyBorder="1" applyAlignment="1" applyProtection="1">
      <alignment vertical="center"/>
      <protection/>
    </xf>
    <xf numFmtId="3" fontId="25" fillId="20" borderId="10" xfId="0" applyNumberFormat="1" applyFont="1" applyFill="1" applyBorder="1" applyAlignment="1" applyProtection="1">
      <alignment horizontal="center" vertical="center" wrapText="1"/>
      <protection/>
    </xf>
    <xf numFmtId="3" fontId="25" fillId="20" borderId="16" xfId="0" applyNumberFormat="1" applyFont="1" applyFill="1" applyBorder="1" applyAlignment="1" applyProtection="1">
      <alignment horizontal="center" vertical="center" wrapText="1"/>
      <protection/>
    </xf>
    <xf numFmtId="178" fontId="23" fillId="22" borderId="0" xfId="0" applyNumberFormat="1" applyFont="1" applyFill="1" applyAlignment="1" applyProtection="1">
      <alignment vertical="center"/>
      <protection/>
    </xf>
    <xf numFmtId="172" fontId="23" fillId="22" borderId="10" xfId="0" applyNumberFormat="1" applyFont="1" applyFill="1" applyBorder="1" applyAlignment="1" applyProtection="1">
      <alignment vertical="center"/>
      <protection/>
    </xf>
    <xf numFmtId="185" fontId="23" fillId="4" borderId="10" xfId="0" applyNumberFormat="1" applyFont="1" applyFill="1" applyBorder="1" applyAlignment="1" applyProtection="1">
      <alignment horizontal="right" vertical="center"/>
      <protection/>
    </xf>
    <xf numFmtId="178" fontId="23" fillId="4" borderId="10" xfId="42" applyNumberFormat="1" applyFont="1" applyFill="1" applyBorder="1" applyAlignment="1" applyProtection="1">
      <alignment vertical="center"/>
      <protection/>
    </xf>
    <xf numFmtId="11" fontId="23" fillId="0" borderId="0" xfId="0" applyNumberFormat="1" applyFont="1" applyAlignment="1" applyProtection="1">
      <alignment vertical="center"/>
      <protection/>
    </xf>
    <xf numFmtId="178" fontId="23" fillId="22" borderId="10" xfId="42" applyNumberFormat="1" applyFont="1" applyFill="1" applyBorder="1" applyAlignment="1" applyProtection="1">
      <alignment vertical="center"/>
      <protection/>
    </xf>
    <xf numFmtId="0" fontId="25" fillId="22" borderId="21" xfId="0" applyFont="1" applyFill="1" applyBorder="1" applyAlignment="1" applyProtection="1">
      <alignment horizontal="center" vertical="center"/>
      <protection/>
    </xf>
    <xf numFmtId="0" fontId="25" fillId="22" borderId="22" xfId="0" applyFont="1" applyFill="1" applyBorder="1" applyAlignment="1" applyProtection="1">
      <alignment horizontal="right" vertical="center"/>
      <protection/>
    </xf>
    <xf numFmtId="0" fontId="25" fillId="22" borderId="0" xfId="0" applyFont="1" applyFill="1" applyBorder="1" applyAlignment="1" applyProtection="1">
      <alignment vertical="center"/>
      <protection/>
    </xf>
    <xf numFmtId="0" fontId="25" fillId="22" borderId="21" xfId="0" applyFont="1" applyFill="1" applyBorder="1" applyAlignment="1" applyProtection="1">
      <alignment vertical="center"/>
      <protection/>
    </xf>
    <xf numFmtId="0" fontId="25" fillId="22" borderId="20" xfId="0" applyFont="1" applyFill="1" applyBorder="1" applyAlignment="1" applyProtection="1">
      <alignment horizontal="right" vertical="center"/>
      <protection/>
    </xf>
    <xf numFmtId="0" fontId="25" fillId="22" borderId="12" xfId="0" applyFont="1" applyFill="1" applyBorder="1" applyAlignment="1" applyProtection="1">
      <alignment vertical="center"/>
      <protection/>
    </xf>
    <xf numFmtId="0" fontId="25" fillId="22" borderId="15" xfId="0" applyFont="1" applyFill="1" applyBorder="1" applyAlignment="1" applyProtection="1">
      <alignment vertical="center"/>
      <protection/>
    </xf>
    <xf numFmtId="0" fontId="25" fillId="0" borderId="0" xfId="0" applyFont="1" applyBorder="1" applyAlignment="1" applyProtection="1">
      <alignment vertical="center"/>
      <protection/>
    </xf>
    <xf numFmtId="180" fontId="25" fillId="20" borderId="10" xfId="0" applyNumberFormat="1" applyFont="1" applyFill="1" applyBorder="1" applyAlignment="1" applyProtection="1">
      <alignment horizontal="center" vertical="center" wrapText="1"/>
      <protection/>
    </xf>
    <xf numFmtId="0" fontId="23" fillId="25" borderId="0" xfId="0" applyFont="1" applyFill="1" applyBorder="1" applyAlignment="1" applyProtection="1">
      <alignment vertical="center"/>
      <protection/>
    </xf>
    <xf numFmtId="0" fontId="23" fillId="25" borderId="12" xfId="0" applyFont="1" applyFill="1" applyBorder="1" applyAlignment="1" applyProtection="1">
      <alignment vertical="center"/>
      <protection/>
    </xf>
    <xf numFmtId="0" fontId="23" fillId="24" borderId="16" xfId="0" applyFont="1" applyFill="1" applyBorder="1" applyAlignment="1" applyProtection="1">
      <alignment vertical="center" wrapText="1"/>
      <protection/>
    </xf>
    <xf numFmtId="0" fontId="25" fillId="20" borderId="16" xfId="0" applyFont="1" applyFill="1" applyBorder="1" applyAlignment="1" applyProtection="1">
      <alignment horizontal="center" vertical="center" wrapText="1"/>
      <protection/>
    </xf>
    <xf numFmtId="178" fontId="25" fillId="20" borderId="10" xfId="0" applyNumberFormat="1" applyFont="1" applyFill="1" applyBorder="1" applyAlignment="1" applyProtection="1">
      <alignment horizontal="right" vertical="center"/>
      <protection/>
    </xf>
    <xf numFmtId="179" fontId="25" fillId="20" borderId="10" xfId="42" applyNumberFormat="1" applyFont="1" applyFill="1" applyBorder="1" applyAlignment="1" applyProtection="1">
      <alignment vertical="center"/>
      <protection/>
    </xf>
    <xf numFmtId="178" fontId="25" fillId="20" borderId="20" xfId="0" applyNumberFormat="1" applyFont="1" applyFill="1" applyBorder="1" applyAlignment="1" applyProtection="1">
      <alignment vertical="center"/>
      <protection/>
    </xf>
    <xf numFmtId="178" fontId="25" fillId="20" borderId="12" xfId="0" applyNumberFormat="1" applyFont="1" applyFill="1" applyBorder="1" applyAlignment="1" applyProtection="1">
      <alignment vertical="center"/>
      <protection/>
    </xf>
    <xf numFmtId="178" fontId="25" fillId="20" borderId="10" xfId="0" applyNumberFormat="1" applyFont="1" applyFill="1" applyBorder="1" applyAlignment="1" applyProtection="1">
      <alignment vertical="center"/>
      <protection/>
    </xf>
    <xf numFmtId="0" fontId="23" fillId="4" borderId="10" xfId="0" applyFont="1" applyFill="1" applyBorder="1" applyAlignment="1" applyProtection="1">
      <alignment horizontal="right" vertical="center"/>
      <protection/>
    </xf>
    <xf numFmtId="0" fontId="23" fillId="24" borderId="16" xfId="0" applyNumberFormat="1" applyFont="1" applyFill="1" applyBorder="1" applyAlignment="1" applyProtection="1">
      <alignment horizontal="right" vertical="center"/>
      <protection/>
    </xf>
    <xf numFmtId="178" fontId="23" fillId="24" borderId="11" xfId="0" applyNumberFormat="1" applyFont="1" applyFill="1" applyBorder="1" applyAlignment="1" applyProtection="1">
      <alignment horizontal="left" vertical="center"/>
      <protection/>
    </xf>
    <xf numFmtId="178" fontId="23" fillId="22" borderId="10" xfId="0" applyNumberFormat="1" applyFont="1" applyFill="1" applyBorder="1" applyAlignment="1" applyProtection="1">
      <alignment horizontal="right" vertical="center"/>
      <protection/>
    </xf>
    <xf numFmtId="178" fontId="23" fillId="22" borderId="10" xfId="0" applyNumberFormat="1" applyFont="1" applyFill="1" applyBorder="1" applyAlignment="1" applyProtection="1">
      <alignment horizontal="left" vertical="center"/>
      <protection/>
    </xf>
    <xf numFmtId="178" fontId="23" fillId="22" borderId="10" xfId="0" applyNumberFormat="1" applyFont="1" applyFill="1" applyBorder="1" applyAlignment="1" applyProtection="1" quotePrefix="1">
      <alignment horizontal="left" vertical="center"/>
      <protection/>
    </xf>
    <xf numFmtId="7" fontId="23" fillId="4" borderId="10" xfId="0" applyNumberFormat="1" applyFont="1" applyFill="1" applyBorder="1" applyAlignment="1" applyProtection="1">
      <alignment horizontal="right" vertical="center"/>
      <protection/>
    </xf>
    <xf numFmtId="0" fontId="23" fillId="4" borderId="10" xfId="0" applyFont="1" applyFill="1" applyBorder="1" applyAlignment="1" applyProtection="1">
      <alignment horizontal="left" vertical="center"/>
      <protection/>
    </xf>
    <xf numFmtId="0" fontId="23" fillId="4" borderId="10" xfId="0" applyNumberFormat="1" applyFont="1" applyFill="1" applyBorder="1" applyAlignment="1" applyProtection="1">
      <alignment horizontal="right" vertical="center"/>
      <protection/>
    </xf>
    <xf numFmtId="0" fontId="23" fillId="4" borderId="10" xfId="0" applyFont="1" applyFill="1" applyBorder="1" applyAlignment="1" applyProtection="1" quotePrefix="1">
      <alignment horizontal="left" vertical="center"/>
      <protection/>
    </xf>
    <xf numFmtId="186" fontId="23" fillId="20" borderId="10" xfId="60" applyNumberFormat="1" applyFont="1" applyFill="1" applyBorder="1" applyAlignment="1" applyProtection="1">
      <alignment vertical="center"/>
      <protection/>
    </xf>
    <xf numFmtId="0" fontId="25" fillId="20" borderId="13" xfId="0" applyFont="1" applyFill="1" applyBorder="1" applyAlignment="1" applyProtection="1">
      <alignment vertical="center"/>
      <protection/>
    </xf>
    <xf numFmtId="0" fontId="25" fillId="20" borderId="11" xfId="0" applyFont="1" applyFill="1" applyBorder="1" applyAlignment="1" applyProtection="1">
      <alignment horizontal="right" vertical="center"/>
      <protection/>
    </xf>
    <xf numFmtId="172" fontId="25" fillId="20" borderId="10" xfId="0" applyNumberFormat="1" applyFont="1" applyFill="1" applyBorder="1" applyAlignment="1" applyProtection="1">
      <alignment vertical="center"/>
      <protection/>
    </xf>
    <xf numFmtId="178" fontId="25" fillId="20" borderId="11" xfId="0" applyNumberFormat="1" applyFont="1" applyFill="1" applyBorder="1" applyAlignment="1" applyProtection="1">
      <alignment horizontal="right" vertical="center"/>
      <protection/>
    </xf>
    <xf numFmtId="178" fontId="25" fillId="20" borderId="16" xfId="0" applyNumberFormat="1" applyFont="1" applyFill="1" applyBorder="1" applyAlignment="1" applyProtection="1">
      <alignment vertical="center"/>
      <protection/>
    </xf>
    <xf numFmtId="0" fontId="25" fillId="0" borderId="0" xfId="57" applyFont="1" applyAlignment="1" applyProtection="1">
      <alignment horizontal="center" vertical="center"/>
      <protection/>
    </xf>
    <xf numFmtId="0" fontId="25" fillId="20" borderId="23" xfId="57" applyFont="1" applyFill="1" applyBorder="1" applyAlignment="1" applyProtection="1">
      <alignment horizontal="center" vertical="center" wrapText="1"/>
      <protection/>
    </xf>
    <xf numFmtId="0" fontId="25" fillId="20" borderId="24" xfId="57" applyFont="1" applyFill="1" applyBorder="1" applyAlignment="1" applyProtection="1">
      <alignment horizontal="center" vertical="center" wrapText="1"/>
      <protection/>
    </xf>
    <xf numFmtId="0" fontId="25" fillId="20" borderId="25" xfId="57" applyFont="1" applyFill="1" applyBorder="1" applyAlignment="1" applyProtection="1">
      <alignment horizontal="center" vertical="center" wrapText="1"/>
      <protection/>
    </xf>
    <xf numFmtId="0" fontId="23" fillId="22" borderId="13" xfId="0" applyFont="1" applyFill="1" applyBorder="1" applyAlignment="1" applyProtection="1">
      <alignment vertical="center"/>
      <protection/>
    </xf>
    <xf numFmtId="0" fontId="23" fillId="22" borderId="11" xfId="0" applyFont="1" applyFill="1" applyBorder="1" applyAlignment="1" applyProtection="1">
      <alignment vertical="center"/>
      <protection/>
    </xf>
    <xf numFmtId="0" fontId="25" fillId="22" borderId="16" xfId="0" applyFont="1" applyFill="1" applyBorder="1" applyAlignment="1" applyProtection="1">
      <alignment vertical="center"/>
      <protection/>
    </xf>
    <xf numFmtId="0" fontId="23" fillId="22" borderId="22" xfId="0" applyFont="1" applyFill="1" applyBorder="1" applyAlignment="1" applyProtection="1">
      <alignment vertical="center"/>
      <protection/>
    </xf>
    <xf numFmtId="9" fontId="23" fillId="2" borderId="10" xfId="0" applyNumberFormat="1" applyFont="1" applyFill="1" applyBorder="1" applyAlignment="1" applyProtection="1">
      <alignment horizontal="left" vertical="center" wrapText="1"/>
      <protection/>
    </xf>
    <xf numFmtId="178" fontId="23" fillId="20" borderId="10" xfId="0" applyNumberFormat="1" applyFont="1" applyFill="1" applyBorder="1" applyAlignment="1" applyProtection="1">
      <alignment horizontal="right" vertical="center" wrapText="1"/>
      <protection/>
    </xf>
    <xf numFmtId="0" fontId="23" fillId="0" borderId="0" xfId="57" applyFont="1" applyAlignment="1" applyProtection="1">
      <alignment vertical="center"/>
      <protection/>
    </xf>
    <xf numFmtId="0" fontId="25" fillId="20" borderId="26" xfId="57" applyFont="1" applyFill="1" applyBorder="1" applyAlignment="1" applyProtection="1">
      <alignment horizontal="center" vertical="center" wrapText="1"/>
      <protection/>
    </xf>
    <xf numFmtId="0" fontId="23" fillId="0" borderId="0" xfId="57" applyFont="1" applyAlignment="1" applyProtection="1">
      <alignment vertical="center" wrapText="1"/>
      <protection/>
    </xf>
    <xf numFmtId="0" fontId="25" fillId="0" borderId="0" xfId="0" applyFont="1" applyFill="1" applyAlignment="1" applyProtection="1">
      <alignment horizontal="center"/>
      <protection/>
    </xf>
    <xf numFmtId="0" fontId="25" fillId="20" borderId="10" xfId="0" applyFont="1" applyFill="1" applyBorder="1" applyAlignment="1" applyProtection="1">
      <alignment horizontal="center"/>
      <protection/>
    </xf>
    <xf numFmtId="0" fontId="23" fillId="0" borderId="0" xfId="0" applyFont="1" applyAlignment="1" applyProtection="1">
      <alignment horizontal="center"/>
      <protection/>
    </xf>
    <xf numFmtId="0" fontId="25" fillId="20" borderId="11" xfId="0" applyFont="1" applyFill="1" applyBorder="1" applyAlignment="1" applyProtection="1">
      <alignment horizontal="center"/>
      <protection/>
    </xf>
    <xf numFmtId="0" fontId="25" fillId="20" borderId="0" xfId="0" applyFont="1" applyFill="1" applyAlignment="1" applyProtection="1">
      <alignment/>
      <protection/>
    </xf>
    <xf numFmtId="0" fontId="23" fillId="0" borderId="27" xfId="0" applyFont="1" applyFill="1" applyBorder="1" applyAlignment="1" applyProtection="1">
      <alignment/>
      <protection/>
    </xf>
    <xf numFmtId="0" fontId="23" fillId="0" borderId="0" xfId="0" applyFont="1" applyAlignment="1" applyProtection="1">
      <alignment/>
      <protection/>
    </xf>
    <xf numFmtId="0" fontId="25" fillId="20" borderId="27" xfId="0" applyFont="1" applyFill="1" applyBorder="1" applyAlignment="1" applyProtection="1">
      <alignment/>
      <protection/>
    </xf>
    <xf numFmtId="186" fontId="23" fillId="0" borderId="27" xfId="60" applyNumberFormat="1" applyFont="1" applyFill="1" applyBorder="1" applyAlignment="1" applyProtection="1">
      <alignment/>
      <protection/>
    </xf>
    <xf numFmtId="0" fontId="23" fillId="0" borderId="0" xfId="0" applyFont="1" applyBorder="1" applyAlignment="1" applyProtection="1">
      <alignment/>
      <protection/>
    </xf>
    <xf numFmtId="0" fontId="23" fillId="0" borderId="27" xfId="0" applyFont="1" applyFill="1" applyBorder="1" applyAlignment="1" applyProtection="1">
      <alignment horizontal="left" vertical="center"/>
      <protection/>
    </xf>
    <xf numFmtId="185" fontId="23" fillId="0" borderId="27" xfId="0" applyNumberFormat="1" applyFont="1" applyBorder="1" applyAlignment="1" applyProtection="1">
      <alignment horizontal="left" vertical="center"/>
      <protection/>
    </xf>
    <xf numFmtId="0" fontId="32" fillId="0" borderId="27" xfId="0" applyFont="1" applyFill="1" applyBorder="1" applyAlignment="1" applyProtection="1">
      <alignment horizontal="left" vertical="center"/>
      <protection/>
    </xf>
    <xf numFmtId="0" fontId="0" fillId="0" borderId="0" xfId="0" applyAlignment="1" applyProtection="1">
      <alignment vertical="center" wrapText="1"/>
      <protection/>
    </xf>
    <xf numFmtId="0" fontId="34" fillId="0" borderId="0" xfId="0" applyFont="1" applyBorder="1" applyAlignment="1" applyProtection="1">
      <alignment vertical="center"/>
      <protection/>
    </xf>
    <xf numFmtId="0" fontId="24" fillId="0" borderId="0" xfId="0" applyFont="1" applyBorder="1" applyAlignment="1" applyProtection="1">
      <alignment horizontal="center" vertical="center"/>
      <protection/>
    </xf>
    <xf numFmtId="0" fontId="0" fillId="0" borderId="0" xfId="0" applyFill="1" applyBorder="1" applyAlignment="1" applyProtection="1">
      <alignment vertical="center"/>
      <protection/>
    </xf>
    <xf numFmtId="0" fontId="41" fillId="25" borderId="0" xfId="0" applyFont="1" applyFill="1" applyBorder="1" applyAlignment="1" applyProtection="1">
      <alignment horizontal="left" vertical="center" indent="1"/>
      <protection/>
    </xf>
    <xf numFmtId="0" fontId="41" fillId="22" borderId="0" xfId="0" applyFont="1" applyFill="1" applyBorder="1" applyAlignment="1" applyProtection="1">
      <alignment horizontal="left" vertical="center" indent="1"/>
      <protection/>
    </xf>
    <xf numFmtId="0" fontId="41" fillId="22" borderId="12" xfId="0" applyFont="1" applyFill="1" applyBorder="1" applyAlignment="1" applyProtection="1">
      <alignment horizontal="left" vertical="center" indent="1"/>
      <protection/>
    </xf>
    <xf numFmtId="0" fontId="29" fillId="0" borderId="0" xfId="53" applyFont="1" applyBorder="1" applyAlignment="1" applyProtection="1">
      <alignment vertical="center"/>
      <protection/>
    </xf>
    <xf numFmtId="0" fontId="23" fillId="0" borderId="0" xfId="0" applyFont="1" applyFill="1" applyBorder="1" applyAlignment="1" applyProtection="1">
      <alignment horizontal="center" vertical="center"/>
      <protection/>
    </xf>
    <xf numFmtId="0" fontId="35" fillId="0" borderId="0" xfId="0" applyFont="1" applyFill="1" applyBorder="1" applyAlignment="1" applyProtection="1">
      <alignment vertical="center"/>
      <protection/>
    </xf>
    <xf numFmtId="0" fontId="35" fillId="0" borderId="0" xfId="0" applyFont="1" applyFill="1" applyBorder="1" applyAlignment="1" applyProtection="1">
      <alignment vertical="center" wrapText="1"/>
      <protection/>
    </xf>
    <xf numFmtId="0" fontId="36" fillId="20" borderId="10" xfId="0" applyFont="1" applyFill="1" applyBorder="1" applyAlignment="1" applyProtection="1">
      <alignment horizontal="center" vertical="center" wrapText="1"/>
      <protection/>
    </xf>
    <xf numFmtId="0" fontId="39" fillId="0" borderId="0" xfId="0" applyFont="1" applyFill="1" applyBorder="1" applyAlignment="1" applyProtection="1">
      <alignment vertical="center"/>
      <protection/>
    </xf>
    <xf numFmtId="0" fontId="40" fillId="0" borderId="0" xfId="0" applyFont="1" applyAlignment="1" applyProtection="1">
      <alignment vertical="center"/>
      <protection/>
    </xf>
    <xf numFmtId="175" fontId="23" fillId="0" borderId="0" xfId="42" applyNumberFormat="1" applyFont="1" applyAlignment="1" applyProtection="1">
      <alignment vertical="center"/>
      <protection/>
    </xf>
    <xf numFmtId="186" fontId="23" fillId="0" borderId="0" xfId="60" applyNumberFormat="1" applyFont="1" applyBorder="1" applyAlignment="1" applyProtection="1">
      <alignment vertical="center"/>
      <protection/>
    </xf>
    <xf numFmtId="0" fontId="23" fillId="0" borderId="0" xfId="0" applyFont="1" applyFill="1" applyBorder="1" applyAlignment="1" applyProtection="1">
      <alignment horizontal="left" vertical="center"/>
      <protection/>
    </xf>
    <xf numFmtId="9" fontId="23" fillId="0" borderId="0" xfId="60" applyFont="1" applyAlignment="1" applyProtection="1">
      <alignment vertical="center"/>
      <protection/>
    </xf>
    <xf numFmtId="0" fontId="23" fillId="0" borderId="0" xfId="0" applyFont="1" applyAlignment="1" applyProtection="1">
      <alignment vertical="center"/>
      <protection/>
    </xf>
    <xf numFmtId="0" fontId="23" fillId="0" borderId="0" xfId="0" applyFont="1" applyBorder="1" applyAlignment="1" applyProtection="1">
      <alignment vertical="center"/>
      <protection/>
    </xf>
    <xf numFmtId="0" fontId="23" fillId="0" borderId="0" xfId="0" applyFont="1" applyBorder="1" applyAlignment="1" applyProtection="1">
      <alignment vertical="center" wrapText="1"/>
      <protection/>
    </xf>
    <xf numFmtId="20" fontId="23" fillId="0" borderId="0" xfId="0" applyNumberFormat="1" applyFont="1" applyAlignment="1" applyProtection="1">
      <alignment vertical="center"/>
      <protection/>
    </xf>
    <xf numFmtId="0" fontId="23" fillId="0" borderId="10" xfId="0" applyFont="1" applyBorder="1" applyAlignment="1" applyProtection="1">
      <alignment horizontal="justify" vertical="center" wrapText="1"/>
      <protection/>
    </xf>
    <xf numFmtId="0" fontId="23" fillId="20" borderId="10" xfId="0" applyFont="1" applyFill="1" applyBorder="1" applyAlignment="1" applyProtection="1">
      <alignment horizontal="right" vertical="center" wrapText="1"/>
      <protection/>
    </xf>
    <xf numFmtId="0" fontId="30" fillId="0" borderId="10" xfId="0" applyFont="1" applyFill="1" applyBorder="1" applyAlignment="1" applyProtection="1">
      <alignment horizontal="left" vertical="center"/>
      <protection locked="0"/>
    </xf>
    <xf numFmtId="0" fontId="30" fillId="0" borderId="10" xfId="0" applyFont="1" applyFill="1" applyBorder="1" applyAlignment="1" applyProtection="1">
      <alignment horizontal="center" vertical="center"/>
      <protection locked="0"/>
    </xf>
    <xf numFmtId="204" fontId="30" fillId="0" borderId="10" xfId="44" applyNumberFormat="1" applyFont="1" applyFill="1" applyBorder="1" applyAlignment="1" applyProtection="1">
      <alignment horizontal="left" vertical="center"/>
      <protection locked="0"/>
    </xf>
    <xf numFmtId="205" fontId="30" fillId="0" borderId="10" xfId="42" applyNumberFormat="1" applyFont="1" applyFill="1" applyBorder="1" applyAlignment="1" applyProtection="1">
      <alignment horizontal="right" vertical="center"/>
      <protection locked="0"/>
    </xf>
    <xf numFmtId="204" fontId="30" fillId="0" borderId="10" xfId="44" applyNumberFormat="1" applyFont="1" applyFill="1" applyBorder="1" applyAlignment="1" applyProtection="1">
      <alignment horizontal="right" vertical="center"/>
      <protection locked="0"/>
    </xf>
    <xf numFmtId="0" fontId="30" fillId="0" borderId="10" xfId="0" applyFont="1" applyBorder="1" applyAlignment="1" applyProtection="1">
      <alignment vertical="center"/>
      <protection locked="0"/>
    </xf>
    <xf numFmtId="0" fontId="44" fillId="0" borderId="12" xfId="0" applyFont="1" applyBorder="1" applyAlignment="1" applyProtection="1">
      <alignment vertical="center"/>
      <protection/>
    </xf>
    <xf numFmtId="0" fontId="29" fillId="0" borderId="12" xfId="0" applyFont="1" applyBorder="1" applyAlignment="1" applyProtection="1">
      <alignment vertical="center"/>
      <protection locked="0"/>
    </xf>
    <xf numFmtId="0" fontId="29" fillId="0" borderId="13" xfId="0" applyFont="1" applyBorder="1" applyAlignment="1" applyProtection="1">
      <alignment vertical="center"/>
      <protection locked="0"/>
    </xf>
    <xf numFmtId="178" fontId="29" fillId="4" borderId="10" xfId="42" applyNumberFormat="1" applyFont="1" applyFill="1" applyBorder="1" applyAlignment="1" applyProtection="1">
      <alignment vertical="center"/>
      <protection locked="0"/>
    </xf>
    <xf numFmtId="179" fontId="29" fillId="4" borderId="10" xfId="42" applyNumberFormat="1" applyFont="1" applyFill="1" applyBorder="1" applyAlignment="1" applyProtection="1">
      <alignment vertical="center"/>
      <protection locked="0"/>
    </xf>
    <xf numFmtId="178" fontId="29" fillId="22" borderId="10" xfId="42" applyNumberFormat="1" applyFont="1" applyFill="1" applyBorder="1" applyAlignment="1" applyProtection="1">
      <alignment vertical="center"/>
      <protection locked="0"/>
    </xf>
    <xf numFmtId="179" fontId="29" fillId="22" borderId="10" xfId="42" applyNumberFormat="1" applyFont="1" applyFill="1" applyBorder="1" applyAlignment="1" applyProtection="1">
      <alignment vertical="center"/>
      <protection locked="0"/>
    </xf>
    <xf numFmtId="178" fontId="29" fillId="24" borderId="11" xfId="42" applyNumberFormat="1" applyFont="1" applyFill="1" applyBorder="1" applyAlignment="1" applyProtection="1">
      <alignment vertical="center"/>
      <protection locked="0"/>
    </xf>
    <xf numFmtId="179" fontId="29" fillId="24" borderId="10" xfId="42" applyNumberFormat="1" applyFont="1" applyFill="1" applyBorder="1" applyAlignment="1" applyProtection="1">
      <alignment vertical="center"/>
      <protection locked="0"/>
    </xf>
    <xf numFmtId="186" fontId="29" fillId="24" borderId="10" xfId="60" applyNumberFormat="1" applyFont="1" applyFill="1" applyBorder="1" applyAlignment="1" applyProtection="1">
      <alignment vertical="center"/>
      <protection locked="0"/>
    </xf>
    <xf numFmtId="178" fontId="29" fillId="4" borderId="10" xfId="0" applyNumberFormat="1" applyFont="1" applyFill="1" applyBorder="1" applyAlignment="1" applyProtection="1">
      <alignment horizontal="right" vertical="center" wrapText="1"/>
      <protection locked="0"/>
    </xf>
    <xf numFmtId="178" fontId="29" fillId="4" borderId="16" xfId="0" applyNumberFormat="1" applyFont="1" applyFill="1" applyBorder="1" applyAlignment="1" applyProtection="1">
      <alignment horizontal="right" vertical="center" wrapText="1"/>
      <protection locked="0"/>
    </xf>
    <xf numFmtId="178" fontId="29" fillId="24" borderId="10" xfId="0" applyNumberFormat="1" applyFont="1" applyFill="1" applyBorder="1" applyAlignment="1" applyProtection="1">
      <alignment horizontal="right" vertical="center" wrapText="1"/>
      <protection locked="0"/>
    </xf>
    <xf numFmtId="178" fontId="29" fillId="24" borderId="16" xfId="0" applyNumberFormat="1" applyFont="1" applyFill="1" applyBorder="1" applyAlignment="1" applyProtection="1">
      <alignment horizontal="right" vertical="center" wrapText="1"/>
      <protection locked="0"/>
    </xf>
    <xf numFmtId="178" fontId="29" fillId="11" borderId="10" xfId="0" applyNumberFormat="1" applyFont="1" applyFill="1" applyBorder="1" applyAlignment="1" applyProtection="1">
      <alignment horizontal="right" vertical="center" wrapText="1"/>
      <protection locked="0"/>
    </xf>
    <xf numFmtId="179" fontId="29" fillId="11" borderId="10" xfId="42" applyNumberFormat="1" applyFont="1" applyFill="1" applyBorder="1" applyAlignment="1" applyProtection="1">
      <alignment vertical="center"/>
      <protection locked="0"/>
    </xf>
    <xf numFmtId="178" fontId="29" fillId="11" borderId="16" xfId="0" applyNumberFormat="1" applyFont="1" applyFill="1" applyBorder="1" applyAlignment="1" applyProtection="1">
      <alignment horizontal="right" vertical="center" wrapText="1"/>
      <protection locked="0"/>
    </xf>
    <xf numFmtId="0" fontId="29" fillId="4" borderId="10" xfId="0" applyFont="1" applyFill="1" applyBorder="1" applyAlignment="1" applyProtection="1">
      <alignment horizontal="center" vertical="center"/>
      <protection locked="0"/>
    </xf>
    <xf numFmtId="0" fontId="29" fillId="24" borderId="10" xfId="0" applyFont="1" applyFill="1" applyBorder="1" applyAlignment="1" applyProtection="1">
      <alignment horizontal="center" vertical="center"/>
      <protection locked="0"/>
    </xf>
    <xf numFmtId="0" fontId="29" fillId="11" borderId="10" xfId="0" applyFont="1" applyFill="1" applyBorder="1" applyAlignment="1" applyProtection="1">
      <alignment horizontal="center" vertical="center"/>
      <protection locked="0"/>
    </xf>
    <xf numFmtId="179" fontId="29" fillId="0" borderId="10" xfId="42" applyNumberFormat="1" applyFont="1" applyBorder="1" applyAlignment="1" applyProtection="1">
      <alignment vertical="center"/>
      <protection locked="0"/>
    </xf>
    <xf numFmtId="178" fontId="29" fillId="0" borderId="11" xfId="42" applyNumberFormat="1" applyFont="1" applyBorder="1" applyAlignment="1" applyProtection="1">
      <alignment vertical="center"/>
      <protection locked="0"/>
    </xf>
    <xf numFmtId="0" fontId="39" fillId="0" borderId="0" xfId="0" applyFont="1" applyFill="1" applyBorder="1" applyAlignment="1" applyProtection="1">
      <alignment/>
      <protection/>
    </xf>
    <xf numFmtId="0" fontId="39" fillId="0" borderId="0" xfId="0" applyFont="1" applyFill="1" applyBorder="1" applyAlignment="1" applyProtection="1">
      <alignment wrapText="1"/>
      <protection/>
    </xf>
    <xf numFmtId="0" fontId="32" fillId="0" borderId="0" xfId="0" applyFont="1" applyAlignment="1" applyProtection="1">
      <alignment vertical="center" textRotation="90"/>
      <protection/>
    </xf>
    <xf numFmtId="175" fontId="30" fillId="0" borderId="10" xfId="42" applyNumberFormat="1" applyFont="1" applyBorder="1" applyAlignment="1" applyProtection="1">
      <alignment vertical="center"/>
      <protection locked="0"/>
    </xf>
    <xf numFmtId="44" fontId="30" fillId="0" borderId="10" xfId="44" applyFont="1" applyBorder="1" applyAlignment="1" applyProtection="1">
      <alignment vertical="center"/>
      <protection locked="0"/>
    </xf>
    <xf numFmtId="204" fontId="30" fillId="0" borderId="10" xfId="44" applyNumberFormat="1" applyFont="1" applyBorder="1" applyAlignment="1" applyProtection="1">
      <alignment vertical="center"/>
      <protection locked="0"/>
    </xf>
    <xf numFmtId="0" fontId="30" fillId="0" borderId="10" xfId="0" applyFont="1" applyBorder="1" applyAlignment="1" applyProtection="1">
      <alignment horizontal="center" vertical="center"/>
      <protection locked="0"/>
    </xf>
    <xf numFmtId="0" fontId="30" fillId="0" borderId="28" xfId="57" applyFont="1" applyBorder="1" applyAlignment="1" applyProtection="1">
      <alignment vertical="center" wrapText="1"/>
      <protection locked="0"/>
    </xf>
    <xf numFmtId="0" fontId="30" fillId="0" borderId="10" xfId="57" applyFont="1" applyBorder="1" applyAlignment="1" applyProtection="1">
      <alignment vertical="center" wrapText="1"/>
      <protection locked="0"/>
    </xf>
    <xf numFmtId="0" fontId="30" fillId="0" borderId="29" xfId="57" applyFont="1" applyBorder="1" applyAlignment="1" applyProtection="1">
      <alignment horizontal="center" vertical="center"/>
      <protection locked="0"/>
    </xf>
    <xf numFmtId="0" fontId="30" fillId="0" borderId="30" xfId="0" applyFont="1" applyFill="1" applyBorder="1" applyAlignment="1" applyProtection="1">
      <alignment vertical="center"/>
      <protection locked="0"/>
    </xf>
    <xf numFmtId="0" fontId="30" fillId="0" borderId="31" xfId="57" applyFont="1" applyBorder="1" applyAlignment="1" applyProtection="1">
      <alignment vertical="center" wrapText="1"/>
      <protection locked="0"/>
    </xf>
    <xf numFmtId="0" fontId="30" fillId="0" borderId="32" xfId="57" applyFont="1" applyBorder="1" applyAlignment="1" applyProtection="1">
      <alignment vertical="center" wrapText="1"/>
      <protection locked="0"/>
    </xf>
    <xf numFmtId="0" fontId="30" fillId="0" borderId="33" xfId="57" applyFont="1" applyBorder="1" applyAlignment="1" applyProtection="1">
      <alignment horizontal="center" vertical="center"/>
      <protection locked="0"/>
    </xf>
    <xf numFmtId="0" fontId="30" fillId="0" borderId="34" xfId="0" applyFont="1" applyFill="1" applyBorder="1" applyAlignment="1" applyProtection="1">
      <alignment vertical="center"/>
      <protection locked="0"/>
    </xf>
    <xf numFmtId="0" fontId="30" fillId="0" borderId="35" xfId="57" applyFont="1" applyBorder="1" applyProtection="1">
      <alignment/>
      <protection locked="0"/>
    </xf>
    <xf numFmtId="0" fontId="30" fillId="0" borderId="14" xfId="57" applyFont="1" applyBorder="1" applyProtection="1">
      <alignment/>
      <protection locked="0"/>
    </xf>
    <xf numFmtId="0" fontId="30" fillId="0" borderId="36" xfId="57" applyFont="1" applyBorder="1" applyProtection="1">
      <alignment/>
      <protection locked="0"/>
    </xf>
    <xf numFmtId="0" fontId="30" fillId="0" borderId="36" xfId="57" applyFont="1" applyBorder="1" applyAlignment="1" applyProtection="1">
      <alignment horizontal="center"/>
      <protection locked="0"/>
    </xf>
    <xf numFmtId="0" fontId="30" fillId="0" borderId="35" xfId="57" applyFont="1" applyBorder="1" applyAlignment="1" applyProtection="1">
      <alignment horizontal="center"/>
      <protection locked="0"/>
    </xf>
    <xf numFmtId="0" fontId="30" fillId="0" borderId="30" xfId="57" applyFont="1" applyBorder="1" applyAlignment="1" applyProtection="1">
      <alignment horizontal="center"/>
      <protection locked="0"/>
    </xf>
    <xf numFmtId="0" fontId="30" fillId="0" borderId="34" xfId="57" applyFont="1" applyBorder="1" applyAlignment="1" applyProtection="1">
      <alignment horizontal="center"/>
      <protection locked="0"/>
    </xf>
    <xf numFmtId="178" fontId="29" fillId="0" borderId="10" xfId="0" applyNumberFormat="1" applyFont="1" applyBorder="1" applyAlignment="1" applyProtection="1">
      <alignment horizontal="right" vertical="center" wrapText="1"/>
      <protection locked="0"/>
    </xf>
    <xf numFmtId="0" fontId="30" fillId="0" borderId="10" xfId="0" applyFont="1" applyFill="1" applyBorder="1" applyAlignment="1" applyProtection="1">
      <alignment vertical="center"/>
      <protection locked="0"/>
    </xf>
    <xf numFmtId="0" fontId="23" fillId="20" borderId="11" xfId="0" applyFont="1" applyFill="1" applyBorder="1" applyAlignment="1" applyProtection="1">
      <alignment/>
      <protection/>
    </xf>
    <xf numFmtId="0" fontId="25" fillId="20" borderId="16" xfId="0" applyFont="1" applyFill="1" applyBorder="1" applyAlignment="1" applyProtection="1">
      <alignment/>
      <protection/>
    </xf>
    <xf numFmtId="3" fontId="23" fillId="22" borderId="10" xfId="0" applyNumberFormat="1" applyFont="1" applyFill="1" applyBorder="1" applyAlignment="1" applyProtection="1">
      <alignment horizontal="center" vertical="center" wrapText="1"/>
      <protection/>
    </xf>
    <xf numFmtId="3" fontId="25" fillId="20" borderId="10" xfId="42" applyNumberFormat="1" applyFont="1" applyFill="1" applyBorder="1" applyAlignment="1" applyProtection="1">
      <alignment horizontal="center" vertical="center"/>
      <protection/>
    </xf>
    <xf numFmtId="178" fontId="25" fillId="20" borderId="10" xfId="42" applyNumberFormat="1" applyFont="1" applyFill="1" applyBorder="1" applyAlignment="1" applyProtection="1">
      <alignment horizontal="right" vertical="center"/>
      <protection/>
    </xf>
    <xf numFmtId="0" fontId="23" fillId="3" borderId="10" xfId="0" applyFont="1" applyFill="1" applyBorder="1" applyAlignment="1" applyProtection="1">
      <alignment vertical="center"/>
      <protection/>
    </xf>
    <xf numFmtId="0" fontId="23" fillId="3" borderId="11" xfId="0" applyFont="1" applyFill="1" applyBorder="1" applyAlignment="1" applyProtection="1">
      <alignment vertical="center"/>
      <protection/>
    </xf>
    <xf numFmtId="178" fontId="29" fillId="3" borderId="11" xfId="42" applyNumberFormat="1" applyFont="1" applyFill="1" applyBorder="1" applyAlignment="1" applyProtection="1">
      <alignment vertical="center"/>
      <protection locked="0"/>
    </xf>
    <xf numFmtId="179" fontId="29" fillId="3" borderId="10" xfId="42" applyNumberFormat="1" applyFont="1" applyFill="1" applyBorder="1" applyAlignment="1" applyProtection="1">
      <alignment vertical="center"/>
      <protection locked="0"/>
    </xf>
    <xf numFmtId="178" fontId="23" fillId="3" borderId="16" xfId="0" applyNumberFormat="1" applyFont="1" applyFill="1" applyBorder="1" applyAlignment="1" applyProtection="1">
      <alignment horizontal="right" vertical="center"/>
      <protection/>
    </xf>
    <xf numFmtId="178" fontId="23" fillId="3" borderId="13" xfId="0" applyNumberFormat="1" applyFont="1" applyFill="1" applyBorder="1" applyAlignment="1" applyProtection="1">
      <alignment horizontal="left" vertical="center"/>
      <protection/>
    </xf>
    <xf numFmtId="178" fontId="23" fillId="3" borderId="10" xfId="0" applyNumberFormat="1" applyFont="1" applyFill="1" applyBorder="1" applyAlignment="1" applyProtection="1">
      <alignment vertical="center"/>
      <protection/>
    </xf>
    <xf numFmtId="178" fontId="29" fillId="3" borderId="10" xfId="42" applyNumberFormat="1" applyFont="1" applyFill="1" applyBorder="1" applyAlignment="1" applyProtection="1">
      <alignment vertical="center"/>
      <protection/>
    </xf>
    <xf numFmtId="179" fontId="29" fillId="3" borderId="10" xfId="42" applyNumberFormat="1" applyFont="1" applyFill="1" applyBorder="1" applyAlignment="1" applyProtection="1">
      <alignment vertical="center"/>
      <protection/>
    </xf>
    <xf numFmtId="0" fontId="23" fillId="3" borderId="14" xfId="0" applyFont="1" applyFill="1" applyBorder="1" applyAlignment="1" applyProtection="1">
      <alignment vertical="center"/>
      <protection/>
    </xf>
    <xf numFmtId="178" fontId="29" fillId="3" borderId="14" xfId="42" applyNumberFormat="1" applyFont="1" applyFill="1" applyBorder="1" applyAlignment="1" applyProtection="1">
      <alignment vertical="center"/>
      <protection/>
    </xf>
    <xf numFmtId="178" fontId="23" fillId="3" borderId="14" xfId="42" applyNumberFormat="1" applyFont="1" applyFill="1" applyBorder="1" applyAlignment="1" applyProtection="1">
      <alignment vertical="center"/>
      <protection/>
    </xf>
    <xf numFmtId="0" fontId="23" fillId="20" borderId="10" xfId="0" applyFont="1" applyFill="1" applyBorder="1" applyAlignment="1" applyProtection="1">
      <alignment horizontal="right" vertical="center"/>
      <protection/>
    </xf>
    <xf numFmtId="179" fontId="23" fillId="20" borderId="10" xfId="0" applyNumberFormat="1" applyFont="1" applyFill="1" applyBorder="1" applyAlignment="1" applyProtection="1">
      <alignment vertical="center"/>
      <protection/>
    </xf>
    <xf numFmtId="0" fontId="23" fillId="7" borderId="10" xfId="0" applyFont="1" applyFill="1" applyBorder="1" applyAlignment="1" applyProtection="1">
      <alignment vertical="center" wrapText="1"/>
      <protection/>
    </xf>
    <xf numFmtId="0" fontId="23" fillId="20" borderId="33" xfId="57" applyFont="1" applyFill="1" applyBorder="1" applyAlignment="1" applyProtection="1">
      <alignment horizontal="right" vertical="center" wrapText="1"/>
      <protection/>
    </xf>
    <xf numFmtId="0" fontId="23" fillId="3" borderId="10" xfId="0" applyFont="1" applyFill="1" applyBorder="1" applyAlignment="1" applyProtection="1">
      <alignment vertical="center" wrapText="1"/>
      <protection/>
    </xf>
    <xf numFmtId="3" fontId="23" fillId="3" borderId="10" xfId="0" applyNumberFormat="1" applyFont="1" applyFill="1" applyBorder="1" applyAlignment="1" applyProtection="1">
      <alignment horizontal="right" vertical="center"/>
      <protection/>
    </xf>
    <xf numFmtId="186" fontId="23" fillId="3" borderId="10" xfId="0" applyNumberFormat="1" applyFont="1" applyFill="1" applyBorder="1" applyAlignment="1" applyProtection="1">
      <alignment horizontal="right" vertical="center"/>
      <protection/>
    </xf>
    <xf numFmtId="9" fontId="23" fillId="3" borderId="10" xfId="0" applyNumberFormat="1" applyFont="1" applyFill="1" applyBorder="1" applyAlignment="1" applyProtection="1">
      <alignment horizontal="right" vertical="center"/>
      <protection/>
    </xf>
    <xf numFmtId="186" fontId="23" fillId="3" borderId="10" xfId="0" applyNumberFormat="1" applyFont="1" applyFill="1" applyBorder="1" applyAlignment="1" applyProtection="1">
      <alignment horizontal="center" vertical="center" wrapText="1"/>
      <protection/>
    </xf>
    <xf numFmtId="179" fontId="23" fillId="7" borderId="10" xfId="0" applyNumberFormat="1" applyFont="1" applyFill="1" applyBorder="1" applyAlignment="1" applyProtection="1">
      <alignment vertical="center"/>
      <protection/>
    </xf>
    <xf numFmtId="178" fontId="23" fillId="7" borderId="10" xfId="0" applyNumberFormat="1" applyFont="1" applyFill="1" applyBorder="1" applyAlignment="1" applyProtection="1">
      <alignment vertical="center"/>
      <protection/>
    </xf>
    <xf numFmtId="0" fontId="23" fillId="7" borderId="10" xfId="0" applyFont="1" applyFill="1" applyBorder="1" applyAlignment="1" applyProtection="1">
      <alignment horizontal="left" vertical="center" wrapText="1"/>
      <protection/>
    </xf>
    <xf numFmtId="186" fontId="23" fillId="7" borderId="10" xfId="0" applyNumberFormat="1" applyFont="1" applyFill="1" applyBorder="1" applyAlignment="1" applyProtection="1">
      <alignment vertical="center"/>
      <protection/>
    </xf>
    <xf numFmtId="3" fontId="23" fillId="4" borderId="10" xfId="42" applyNumberFormat="1" applyFont="1" applyFill="1" applyBorder="1" applyAlignment="1" applyProtection="1">
      <alignment horizontal="center" vertical="center"/>
      <protection/>
    </xf>
    <xf numFmtId="178" fontId="23" fillId="4" borderId="10" xfId="42" applyNumberFormat="1" applyFont="1" applyFill="1" applyBorder="1" applyAlignment="1" applyProtection="1">
      <alignment horizontal="right" vertical="center"/>
      <protection/>
    </xf>
    <xf numFmtId="3" fontId="23" fillId="26" borderId="10" xfId="42" applyNumberFormat="1" applyFont="1" applyFill="1" applyBorder="1" applyAlignment="1" applyProtection="1">
      <alignment horizontal="center" vertical="center"/>
      <protection/>
    </xf>
    <xf numFmtId="178" fontId="23" fillId="26" borderId="10" xfId="42" applyNumberFormat="1" applyFont="1" applyFill="1" applyBorder="1" applyAlignment="1" applyProtection="1">
      <alignment horizontal="right" vertical="center"/>
      <protection/>
    </xf>
    <xf numFmtId="178" fontId="29" fillId="22" borderId="10" xfId="0" applyNumberFormat="1" applyFont="1" applyFill="1" applyBorder="1" applyAlignment="1" applyProtection="1">
      <alignment horizontal="right" vertical="center" wrapText="1"/>
      <protection locked="0"/>
    </xf>
    <xf numFmtId="178" fontId="29" fillId="22" borderId="16" xfId="0" applyNumberFormat="1" applyFont="1" applyFill="1" applyBorder="1" applyAlignment="1" applyProtection="1">
      <alignment horizontal="right" vertical="center" wrapText="1"/>
      <protection locked="0"/>
    </xf>
    <xf numFmtId="0" fontId="29" fillId="22" borderId="10" xfId="0" applyFont="1" applyFill="1" applyBorder="1" applyAlignment="1" applyProtection="1">
      <alignment horizontal="center" vertical="center"/>
      <protection locked="0"/>
    </xf>
    <xf numFmtId="185" fontId="23" fillId="22" borderId="10" xfId="0" applyNumberFormat="1" applyFont="1" applyFill="1" applyBorder="1" applyAlignment="1" applyProtection="1">
      <alignment vertical="center"/>
      <protection/>
    </xf>
    <xf numFmtId="179" fontId="29" fillId="7" borderId="10" xfId="42" applyNumberFormat="1" applyFont="1" applyFill="1" applyBorder="1" applyAlignment="1" applyProtection="1">
      <alignment vertical="center"/>
      <protection locked="0"/>
    </xf>
    <xf numFmtId="178" fontId="29" fillId="26" borderId="10" xfId="0" applyNumberFormat="1" applyFont="1" applyFill="1" applyBorder="1" applyAlignment="1" applyProtection="1">
      <alignment horizontal="right" vertical="center" wrapText="1"/>
      <protection locked="0"/>
    </xf>
    <xf numFmtId="179" fontId="29" fillId="26" borderId="10" xfId="42" applyNumberFormat="1" applyFont="1" applyFill="1" applyBorder="1" applyAlignment="1" applyProtection="1">
      <alignment vertical="center"/>
      <protection locked="0"/>
    </xf>
    <xf numFmtId="0" fontId="29" fillId="26" borderId="10" xfId="0" applyFont="1" applyFill="1" applyBorder="1" applyAlignment="1" applyProtection="1">
      <alignment horizontal="center" vertical="center"/>
      <protection locked="0"/>
    </xf>
    <xf numFmtId="185" fontId="23" fillId="26" borderId="10" xfId="0" applyNumberFormat="1" applyFont="1" applyFill="1" applyBorder="1" applyAlignment="1" applyProtection="1">
      <alignment vertical="center"/>
      <protection/>
    </xf>
    <xf numFmtId="179" fontId="23" fillId="22" borderId="10" xfId="0" applyNumberFormat="1" applyFont="1" applyFill="1" applyBorder="1" applyAlignment="1" applyProtection="1">
      <alignment horizontal="right" vertical="center"/>
      <protection/>
    </xf>
    <xf numFmtId="0" fontId="23" fillId="3" borderId="14" xfId="0" applyFont="1" applyFill="1" applyBorder="1" applyAlignment="1" applyProtection="1">
      <alignment horizontal="center" vertical="center" wrapText="1"/>
      <protection/>
    </xf>
    <xf numFmtId="0" fontId="38" fillId="3" borderId="11" xfId="0" applyFont="1" applyFill="1" applyBorder="1" applyAlignment="1" applyProtection="1">
      <alignment vertical="center"/>
      <protection locked="0"/>
    </xf>
    <xf numFmtId="186" fontId="29" fillId="3" borderId="11" xfId="42" applyNumberFormat="1" applyFont="1" applyFill="1" applyBorder="1" applyAlignment="1" applyProtection="1">
      <alignment vertical="center"/>
      <protection locked="0"/>
    </xf>
    <xf numFmtId="186" fontId="23" fillId="3" borderId="11" xfId="42" applyNumberFormat="1" applyFont="1" applyFill="1" applyBorder="1" applyAlignment="1" applyProtection="1">
      <alignment horizontal="right" vertical="center"/>
      <protection/>
    </xf>
    <xf numFmtId="0" fontId="23" fillId="3" borderId="10" xfId="0" applyFont="1" applyFill="1" applyBorder="1" applyAlignment="1" applyProtection="1">
      <alignment horizontal="center" vertical="center" wrapText="1"/>
      <protection/>
    </xf>
    <xf numFmtId="0" fontId="38" fillId="3" borderId="11" xfId="0" applyFont="1" applyFill="1" applyBorder="1" applyAlignment="1" applyProtection="1">
      <alignment vertical="center" wrapText="1"/>
      <protection locked="0"/>
    </xf>
    <xf numFmtId="3" fontId="29" fillId="7" borderId="11" xfId="42" applyNumberFormat="1" applyFont="1" applyFill="1" applyBorder="1" applyAlignment="1" applyProtection="1">
      <alignment vertical="center"/>
      <protection locked="0"/>
    </xf>
    <xf numFmtId="1" fontId="23" fillId="2" borderId="10" xfId="0" applyNumberFormat="1" applyFont="1" applyFill="1" applyBorder="1" applyAlignment="1" applyProtection="1">
      <alignment horizontal="right" vertical="center" wrapText="1"/>
      <protection/>
    </xf>
    <xf numFmtId="0" fontId="23" fillId="2" borderId="10" xfId="0" applyFont="1" applyFill="1" applyBorder="1" applyAlignment="1" applyProtection="1">
      <alignment horizontal="right" vertical="center" wrapText="1"/>
      <protection/>
    </xf>
    <xf numFmtId="178" fontId="29" fillId="12" borderId="10" xfId="0" applyNumberFormat="1" applyFont="1" applyFill="1" applyBorder="1" applyAlignment="1" applyProtection="1">
      <alignment horizontal="right" vertical="center" wrapText="1"/>
      <protection locked="0"/>
    </xf>
    <xf numFmtId="179" fontId="29" fillId="12" borderId="10" xfId="42" applyNumberFormat="1" applyFont="1" applyFill="1" applyBorder="1" applyAlignment="1" applyProtection="1">
      <alignment vertical="center"/>
      <protection locked="0"/>
    </xf>
    <xf numFmtId="178" fontId="29" fillId="12" borderId="16" xfId="0" applyNumberFormat="1" applyFont="1" applyFill="1" applyBorder="1" applyAlignment="1" applyProtection="1">
      <alignment horizontal="right" vertical="center" wrapText="1"/>
      <protection locked="0"/>
    </xf>
    <xf numFmtId="0" fontId="29" fillId="12" borderId="10" xfId="0" applyFont="1" applyFill="1" applyBorder="1" applyAlignment="1" applyProtection="1">
      <alignment horizontal="center" vertical="center"/>
      <protection locked="0"/>
    </xf>
    <xf numFmtId="185" fontId="23" fillId="12" borderId="10" xfId="0" applyNumberFormat="1" applyFont="1" applyFill="1" applyBorder="1" applyAlignment="1" applyProtection="1">
      <alignment vertical="center"/>
      <protection/>
    </xf>
    <xf numFmtId="178" fontId="23" fillId="12" borderId="10" xfId="0" applyNumberFormat="1" applyFont="1" applyFill="1" applyBorder="1" applyAlignment="1" applyProtection="1">
      <alignment horizontal="right" vertical="center"/>
      <protection/>
    </xf>
    <xf numFmtId="179" fontId="23" fillId="12" borderId="10" xfId="0" applyNumberFormat="1" applyFont="1" applyFill="1" applyBorder="1" applyAlignment="1" applyProtection="1">
      <alignment horizontal="right" vertical="center"/>
      <protection/>
    </xf>
    <xf numFmtId="179" fontId="23" fillId="4" borderId="37" xfId="0" applyNumberFormat="1" applyFont="1" applyFill="1" applyBorder="1" applyAlignment="1" applyProtection="1">
      <alignment horizontal="right" vertical="center"/>
      <protection/>
    </xf>
    <xf numFmtId="178" fontId="23" fillId="26" borderId="10" xfId="0" applyNumberFormat="1" applyFont="1" applyFill="1" applyBorder="1" applyAlignment="1" applyProtection="1">
      <alignment horizontal="right" vertical="center"/>
      <protection/>
    </xf>
    <xf numFmtId="179" fontId="23" fillId="26" borderId="10" xfId="0" applyNumberFormat="1" applyFont="1" applyFill="1" applyBorder="1" applyAlignment="1" applyProtection="1">
      <alignment horizontal="right" vertical="center"/>
      <protection/>
    </xf>
    <xf numFmtId="179" fontId="23" fillId="26" borderId="37" xfId="0" applyNumberFormat="1" applyFont="1" applyFill="1" applyBorder="1" applyAlignment="1" applyProtection="1">
      <alignment horizontal="right" vertical="center"/>
      <protection/>
    </xf>
    <xf numFmtId="178" fontId="23" fillId="20" borderId="10" xfId="0" applyNumberFormat="1" applyFont="1" applyFill="1" applyBorder="1" applyAlignment="1" applyProtection="1">
      <alignment horizontal="right" vertical="center"/>
      <protection/>
    </xf>
    <xf numFmtId="179" fontId="23" fillId="20" borderId="10" xfId="0" applyNumberFormat="1" applyFont="1" applyFill="1" applyBorder="1" applyAlignment="1" applyProtection="1">
      <alignment horizontal="right" vertical="center"/>
      <protection/>
    </xf>
    <xf numFmtId="178" fontId="23" fillId="20" borderId="37" xfId="0" applyNumberFormat="1" applyFont="1" applyFill="1" applyBorder="1" applyAlignment="1" applyProtection="1">
      <alignment horizontal="right" vertical="center"/>
      <protection/>
    </xf>
    <xf numFmtId="0" fontId="25" fillId="22" borderId="0" xfId="0" applyFont="1" applyFill="1" applyBorder="1" applyAlignment="1" applyProtection="1">
      <alignment horizontal="right" vertical="center" indent="2"/>
      <protection/>
    </xf>
    <xf numFmtId="0" fontId="25" fillId="20" borderId="38" xfId="57" applyFont="1" applyFill="1" applyBorder="1" applyAlignment="1" applyProtection="1">
      <alignment horizontal="center" vertical="center" wrapText="1"/>
      <protection/>
    </xf>
    <xf numFmtId="0" fontId="30" fillId="0" borderId="15" xfId="57" applyFont="1" applyBorder="1" applyProtection="1">
      <alignment/>
      <protection locked="0"/>
    </xf>
    <xf numFmtId="0" fontId="23" fillId="0" borderId="0" xfId="57" applyFont="1" applyAlignment="1" applyProtection="1">
      <alignment vertical="center" wrapText="1"/>
      <protection/>
    </xf>
    <xf numFmtId="0" fontId="30" fillId="0" borderId="15" xfId="57" applyFont="1" applyBorder="1" applyAlignment="1" applyProtection="1">
      <alignment horizontal="center"/>
      <protection locked="0"/>
    </xf>
    <xf numFmtId="0" fontId="25" fillId="20" borderId="10" xfId="0" applyFont="1" applyFill="1" applyBorder="1" applyAlignment="1" applyProtection="1">
      <alignment vertical="center"/>
      <protection/>
    </xf>
    <xf numFmtId="0" fontId="23" fillId="0" borderId="19" xfId="0" applyFont="1" applyBorder="1" applyAlignment="1" applyProtection="1">
      <alignment horizontal="left"/>
      <protection/>
    </xf>
    <xf numFmtId="0" fontId="23" fillId="0" borderId="27" xfId="0" applyFont="1" applyBorder="1" applyAlignment="1" applyProtection="1">
      <alignment horizontal="left"/>
      <protection/>
    </xf>
    <xf numFmtId="0" fontId="23" fillId="0" borderId="27" xfId="0" applyFont="1" applyBorder="1" applyAlignment="1" applyProtection="1">
      <alignment horizontal="left" vertical="center"/>
      <protection/>
    </xf>
    <xf numFmtId="0" fontId="23" fillId="4" borderId="27" xfId="0" applyFont="1" applyFill="1" applyBorder="1" applyAlignment="1" applyProtection="1">
      <alignment horizontal="left"/>
      <protection/>
    </xf>
    <xf numFmtId="0" fontId="23" fillId="0" borderId="27" xfId="0" applyFont="1" applyFill="1" applyBorder="1" applyAlignment="1" applyProtection="1">
      <alignment horizontal="left"/>
      <protection/>
    </xf>
    <xf numFmtId="0" fontId="23" fillId="22" borderId="27" xfId="0" applyFont="1" applyFill="1" applyBorder="1" applyAlignment="1" applyProtection="1">
      <alignment horizontal="left"/>
      <protection/>
    </xf>
    <xf numFmtId="0" fontId="23" fillId="2" borderId="27" xfId="0" applyFont="1" applyFill="1" applyBorder="1" applyAlignment="1" applyProtection="1">
      <alignment horizontal="left"/>
      <protection/>
    </xf>
    <xf numFmtId="0" fontId="23" fillId="27" borderId="27" xfId="0" applyFont="1" applyFill="1" applyBorder="1" applyAlignment="1" applyProtection="1">
      <alignment horizontal="left"/>
      <protection/>
    </xf>
    <xf numFmtId="0" fontId="32" fillId="0" borderId="27" xfId="0" applyFont="1" applyFill="1" applyBorder="1" applyAlignment="1" applyProtection="1">
      <alignment horizontal="left"/>
      <protection/>
    </xf>
    <xf numFmtId="0" fontId="23" fillId="24" borderId="27" xfId="0" applyFont="1" applyFill="1" applyBorder="1" applyAlignment="1" applyProtection="1">
      <alignment horizontal="left"/>
      <protection/>
    </xf>
    <xf numFmtId="0" fontId="42" fillId="0" borderId="27" xfId="0" applyFont="1" applyBorder="1" applyAlignment="1" applyProtection="1">
      <alignment horizontal="left"/>
      <protection/>
    </xf>
    <xf numFmtId="0" fontId="0" fillId="0" borderId="27" xfId="0" applyBorder="1" applyAlignment="1">
      <alignment horizontal="left"/>
    </xf>
    <xf numFmtId="0" fontId="26" fillId="0" borderId="27" xfId="0" applyFont="1" applyBorder="1" applyAlignment="1" applyProtection="1">
      <alignment horizontal="left"/>
      <protection/>
    </xf>
    <xf numFmtId="0" fontId="26" fillId="0" borderId="27" xfId="0" applyFont="1" applyFill="1" applyBorder="1" applyAlignment="1" applyProtection="1">
      <alignment horizontal="left"/>
      <protection/>
    </xf>
    <xf numFmtId="0" fontId="32" fillId="0" borderId="27" xfId="0" applyFont="1" applyFill="1" applyBorder="1" applyAlignment="1" applyProtection="1">
      <alignment horizontal="left"/>
      <protection/>
    </xf>
    <xf numFmtId="0" fontId="23" fillId="3" borderId="16" xfId="0" applyNumberFormat="1" applyFont="1" applyFill="1" applyBorder="1" applyAlignment="1" applyProtection="1">
      <alignment horizontal="right" vertical="center"/>
      <protection/>
    </xf>
    <xf numFmtId="178" fontId="25" fillId="20" borderId="10" xfId="42" applyNumberFormat="1" applyFont="1" applyFill="1" applyBorder="1" applyAlignment="1" applyProtection="1">
      <alignment vertical="center"/>
      <protection/>
    </xf>
    <xf numFmtId="179" fontId="25" fillId="20" borderId="10" xfId="0" applyNumberFormat="1" applyFont="1" applyFill="1" applyBorder="1" applyAlignment="1" applyProtection="1">
      <alignment horizontal="right" vertical="center"/>
      <protection/>
    </xf>
    <xf numFmtId="185" fontId="25" fillId="4" borderId="10" xfId="0" applyNumberFormat="1" applyFont="1" applyFill="1" applyBorder="1" applyAlignment="1" applyProtection="1">
      <alignment horizontal="right" vertical="center"/>
      <protection/>
    </xf>
    <xf numFmtId="185" fontId="25" fillId="22" borderId="10" xfId="0" applyNumberFormat="1" applyFont="1" applyFill="1" applyBorder="1" applyAlignment="1" applyProtection="1">
      <alignment horizontal="right" vertical="center"/>
      <protection/>
    </xf>
    <xf numFmtId="178" fontId="23" fillId="3" borderId="10" xfId="42" applyNumberFormat="1" applyFont="1" applyFill="1" applyBorder="1" applyAlignment="1" applyProtection="1">
      <alignment vertical="center"/>
      <protection/>
    </xf>
    <xf numFmtId="0" fontId="23" fillId="20" borderId="16" xfId="0" applyFont="1" applyFill="1" applyBorder="1" applyAlignment="1" applyProtection="1">
      <alignment horizontal="center"/>
      <protection/>
    </xf>
    <xf numFmtId="0" fontId="23" fillId="20" borderId="13" xfId="0" applyFont="1" applyFill="1" applyBorder="1" applyAlignment="1" applyProtection="1">
      <alignment horizontal="center"/>
      <protection/>
    </xf>
    <xf numFmtId="0" fontId="23" fillId="20" borderId="11" xfId="0" applyFont="1" applyFill="1" applyBorder="1" applyAlignment="1" applyProtection="1">
      <alignment horizontal="center"/>
      <protection/>
    </xf>
    <xf numFmtId="9" fontId="25" fillId="20" borderId="16" xfId="60" applyFont="1" applyFill="1" applyBorder="1" applyAlignment="1" applyProtection="1">
      <alignment vertical="center"/>
      <protection/>
    </xf>
    <xf numFmtId="9" fontId="25" fillId="20" borderId="11" xfId="60" applyFont="1" applyFill="1" applyBorder="1" applyAlignment="1" applyProtection="1">
      <alignment vertical="center"/>
      <protection/>
    </xf>
    <xf numFmtId="0" fontId="23" fillId="0" borderId="22" xfId="0" applyFont="1" applyBorder="1" applyAlignment="1" applyProtection="1">
      <alignment/>
      <protection/>
    </xf>
    <xf numFmtId="16" fontId="23" fillId="0" borderId="21" xfId="0" applyNumberFormat="1" applyFont="1" applyBorder="1" applyAlignment="1" applyProtection="1" quotePrefix="1">
      <alignment/>
      <protection/>
    </xf>
    <xf numFmtId="0" fontId="23" fillId="0" borderId="21" xfId="0" applyFont="1" applyBorder="1" applyAlignment="1" applyProtection="1" quotePrefix="1">
      <alignment/>
      <protection/>
    </xf>
    <xf numFmtId="0" fontId="23" fillId="0" borderId="20" xfId="0" applyFont="1" applyBorder="1" applyAlignment="1" applyProtection="1">
      <alignment/>
      <protection/>
    </xf>
    <xf numFmtId="0" fontId="23" fillId="0" borderId="12" xfId="0" applyFont="1" applyBorder="1" applyAlignment="1" applyProtection="1">
      <alignment/>
      <protection/>
    </xf>
    <xf numFmtId="16" fontId="23" fillId="0" borderId="15" xfId="0" applyNumberFormat="1" applyFont="1" applyBorder="1" applyAlignment="1" applyProtection="1" quotePrefix="1">
      <alignment/>
      <protection/>
    </xf>
    <xf numFmtId="186" fontId="23" fillId="0" borderId="22" xfId="60" applyNumberFormat="1" applyFont="1" applyBorder="1" applyAlignment="1" applyProtection="1">
      <alignment vertical="center"/>
      <protection/>
    </xf>
    <xf numFmtId="186" fontId="23" fillId="0" borderId="21" xfId="60" applyNumberFormat="1" applyFont="1" applyBorder="1" applyAlignment="1" applyProtection="1">
      <alignment vertical="center"/>
      <protection/>
    </xf>
    <xf numFmtId="9" fontId="23" fillId="0" borderId="20" xfId="60" applyFont="1" applyBorder="1" applyAlignment="1" applyProtection="1">
      <alignment vertical="center"/>
      <protection/>
    </xf>
    <xf numFmtId="9" fontId="23" fillId="0" borderId="15" xfId="60" applyFont="1" applyBorder="1" applyAlignment="1" applyProtection="1">
      <alignment vertical="center"/>
      <protection/>
    </xf>
    <xf numFmtId="0" fontId="25" fillId="20" borderId="19" xfId="0" applyFont="1" applyFill="1" applyBorder="1" applyAlignment="1" applyProtection="1">
      <alignment/>
      <protection/>
    </xf>
    <xf numFmtId="0" fontId="25" fillId="20" borderId="14" xfId="0" applyFont="1" applyFill="1" applyBorder="1" applyAlignment="1" applyProtection="1">
      <alignment/>
      <protection/>
    </xf>
    <xf numFmtId="185" fontId="25" fillId="20" borderId="29" xfId="0" applyNumberFormat="1" applyFont="1" applyFill="1" applyBorder="1" applyAlignment="1" applyProtection="1">
      <alignment horizontal="center" vertical="center"/>
      <protection/>
    </xf>
    <xf numFmtId="186" fontId="25" fillId="20" borderId="33" xfId="60" applyNumberFormat="1" applyFont="1" applyFill="1" applyBorder="1" applyAlignment="1" applyProtection="1">
      <alignment horizontal="center" vertical="center"/>
      <protection/>
    </xf>
    <xf numFmtId="0" fontId="32" fillId="0" borderId="0" xfId="0" applyFont="1" applyBorder="1" applyAlignment="1" applyProtection="1">
      <alignment vertical="center"/>
      <protection/>
    </xf>
    <xf numFmtId="191" fontId="32" fillId="0" borderId="0" xfId="42" applyNumberFormat="1" applyFont="1" applyBorder="1" applyAlignment="1" applyProtection="1">
      <alignment horizontal="center" vertical="center" wrapText="1"/>
      <protection/>
    </xf>
    <xf numFmtId="191" fontId="32" fillId="0" borderId="0" xfId="42"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2" xfId="0" applyBorder="1" applyAlignment="1" applyProtection="1">
      <alignment vertical="center" wrapText="1"/>
      <protection/>
    </xf>
    <xf numFmtId="179" fontId="29" fillId="22" borderId="10" xfId="42" applyNumberFormat="1" applyFont="1" applyFill="1" applyBorder="1" applyAlignment="1" applyProtection="1">
      <alignment vertical="center"/>
      <protection/>
    </xf>
    <xf numFmtId="179" fontId="29" fillId="24" borderId="10" xfId="42" applyNumberFormat="1" applyFont="1" applyFill="1" applyBorder="1" applyAlignment="1" applyProtection="1">
      <alignment vertical="center"/>
      <protection/>
    </xf>
    <xf numFmtId="178" fontId="29" fillId="22" borderId="10" xfId="0" applyNumberFormat="1" applyFont="1" applyFill="1" applyBorder="1" applyAlignment="1" applyProtection="1">
      <alignment horizontal="right" vertical="center" wrapText="1"/>
      <protection/>
    </xf>
    <xf numFmtId="178" fontId="29" fillId="11" borderId="10" xfId="0" applyNumberFormat="1" applyFont="1" applyFill="1" applyBorder="1" applyAlignment="1" applyProtection="1">
      <alignment horizontal="right" vertical="center" wrapText="1"/>
      <protection/>
    </xf>
    <xf numFmtId="179" fontId="29" fillId="11" borderId="10" xfId="42" applyNumberFormat="1" applyFont="1" applyFill="1" applyBorder="1" applyAlignment="1" applyProtection="1">
      <alignment vertical="center"/>
      <protection/>
    </xf>
    <xf numFmtId="178" fontId="29" fillId="24" borderId="10" xfId="0" applyNumberFormat="1" applyFont="1" applyFill="1" applyBorder="1" applyAlignment="1" applyProtection="1">
      <alignment horizontal="right" vertical="center" wrapText="1"/>
      <protection/>
    </xf>
    <xf numFmtId="178" fontId="29" fillId="12" borderId="10" xfId="0" applyNumberFormat="1" applyFont="1" applyFill="1" applyBorder="1" applyAlignment="1" applyProtection="1">
      <alignment horizontal="right" vertical="center" wrapText="1"/>
      <protection/>
    </xf>
    <xf numFmtId="179" fontId="29" fillId="12" borderId="10" xfId="42" applyNumberFormat="1" applyFont="1" applyFill="1" applyBorder="1" applyAlignment="1" applyProtection="1">
      <alignment vertical="center"/>
      <protection/>
    </xf>
    <xf numFmtId="178" fontId="29" fillId="4" borderId="10" xfId="0" applyNumberFormat="1" applyFont="1" applyFill="1" applyBorder="1" applyAlignment="1" applyProtection="1">
      <alignment horizontal="right" vertical="center" wrapText="1"/>
      <protection/>
    </xf>
    <xf numFmtId="179" fontId="29" fillId="4" borderId="10" xfId="42" applyNumberFormat="1" applyFont="1" applyFill="1" applyBorder="1" applyAlignment="1" applyProtection="1">
      <alignment vertical="center"/>
      <protection/>
    </xf>
    <xf numFmtId="178" fontId="29" fillId="26" borderId="10" xfId="0" applyNumberFormat="1" applyFont="1" applyFill="1" applyBorder="1" applyAlignment="1" applyProtection="1">
      <alignment horizontal="right" vertical="center" wrapText="1"/>
      <protection/>
    </xf>
    <xf numFmtId="179" fontId="29" fillId="26" borderId="10" xfId="42" applyNumberFormat="1" applyFont="1" applyFill="1" applyBorder="1" applyAlignment="1" applyProtection="1">
      <alignment vertical="center"/>
      <protection/>
    </xf>
    <xf numFmtId="179" fontId="29" fillId="0" borderId="10" xfId="42" applyNumberFormat="1" applyFont="1" applyBorder="1" applyAlignment="1" applyProtection="1">
      <alignment vertical="center"/>
      <protection/>
    </xf>
    <xf numFmtId="178" fontId="29" fillId="0" borderId="11" xfId="42" applyNumberFormat="1" applyFont="1" applyBorder="1" applyAlignment="1" applyProtection="1">
      <alignment vertical="center"/>
      <protection/>
    </xf>
    <xf numFmtId="0" fontId="29" fillId="22" borderId="13" xfId="0" applyFont="1" applyFill="1" applyBorder="1" applyAlignment="1" applyProtection="1">
      <alignment vertical="center"/>
      <protection/>
    </xf>
    <xf numFmtId="185" fontId="30" fillId="0" borderId="10" xfId="57" applyNumberFormat="1" applyFont="1" applyBorder="1" applyAlignment="1" applyProtection="1">
      <alignment vertical="center" wrapText="1"/>
      <protection locked="0"/>
    </xf>
    <xf numFmtId="204" fontId="30" fillId="0" borderId="10" xfId="44" applyNumberFormat="1" applyFont="1" applyBorder="1" applyAlignment="1" applyProtection="1">
      <alignment vertical="center" wrapText="1"/>
      <protection locked="0"/>
    </xf>
    <xf numFmtId="0" fontId="30" fillId="0" borderId="10" xfId="57" applyFont="1" applyBorder="1" applyAlignment="1" applyProtection="1">
      <alignment horizontal="center" vertical="center" wrapText="1"/>
      <protection locked="0"/>
    </xf>
    <xf numFmtId="9" fontId="30" fillId="0" borderId="28" xfId="60" applyFont="1" applyBorder="1" applyAlignment="1" applyProtection="1">
      <alignment horizontal="center" vertical="center"/>
      <protection locked="0"/>
    </xf>
    <xf numFmtId="9" fontId="30" fillId="0" borderId="31" xfId="60" applyFont="1" applyBorder="1" applyAlignment="1" applyProtection="1">
      <alignment horizontal="center" vertical="center"/>
      <protection locked="0"/>
    </xf>
    <xf numFmtId="0" fontId="25" fillId="20" borderId="26" xfId="57" applyFont="1" applyFill="1" applyBorder="1" applyAlignment="1" applyProtection="1">
      <alignment horizontal="center" vertical="center" wrapText="1"/>
      <protection/>
    </xf>
    <xf numFmtId="0" fontId="30" fillId="0" borderId="39" xfId="57" applyFont="1" applyBorder="1" applyProtection="1">
      <alignment/>
      <protection locked="0"/>
    </xf>
    <xf numFmtId="0" fontId="30" fillId="0" borderId="40" xfId="57" applyFont="1" applyBorder="1" applyProtection="1">
      <alignment/>
      <protection locked="0"/>
    </xf>
    <xf numFmtId="185" fontId="30" fillId="0" borderId="32" xfId="57" applyNumberFormat="1" applyFont="1" applyBorder="1" applyAlignment="1" applyProtection="1">
      <alignment vertical="center" wrapText="1"/>
      <protection locked="0"/>
    </xf>
    <xf numFmtId="204" fontId="30" fillId="0" borderId="32" xfId="44" applyNumberFormat="1" applyFont="1" applyBorder="1" applyAlignment="1" applyProtection="1">
      <alignment vertical="center" wrapText="1"/>
      <protection locked="0"/>
    </xf>
    <xf numFmtId="0" fontId="30" fillId="0" borderId="32" xfId="57" applyFont="1" applyBorder="1" applyAlignment="1" applyProtection="1">
      <alignment horizontal="center" vertical="center" wrapText="1"/>
      <protection locked="0"/>
    </xf>
    <xf numFmtId="14" fontId="30" fillId="0" borderId="14" xfId="57" applyNumberFormat="1" applyFont="1" applyBorder="1" applyAlignment="1" applyProtection="1">
      <alignment horizontal="center"/>
      <protection locked="0"/>
    </xf>
    <xf numFmtId="0" fontId="28" fillId="0" borderId="0" xfId="0" applyFont="1" applyFill="1" applyBorder="1" applyAlignment="1" applyProtection="1">
      <alignment vertical="center"/>
      <protection/>
    </xf>
    <xf numFmtId="3" fontId="30" fillId="0" borderId="14" xfId="57" applyNumberFormat="1" applyFont="1" applyBorder="1" applyProtection="1">
      <alignment/>
      <protection locked="0"/>
    </xf>
    <xf numFmtId="191" fontId="30" fillId="0" borderId="14" xfId="57" applyNumberFormat="1" applyFont="1" applyBorder="1" applyProtection="1">
      <alignment/>
      <protection locked="0"/>
    </xf>
    <xf numFmtId="9" fontId="30" fillId="0" borderId="39" xfId="60" applyNumberFormat="1" applyFont="1" applyBorder="1" applyAlignment="1" applyProtection="1">
      <alignment horizontal="center" vertical="center"/>
      <protection locked="0"/>
    </xf>
    <xf numFmtId="9" fontId="30" fillId="0" borderId="40" xfId="60" applyNumberFormat="1" applyFont="1" applyBorder="1" applyAlignment="1" applyProtection="1">
      <alignment horizontal="center" vertical="center"/>
      <protection locked="0"/>
    </xf>
    <xf numFmtId="3" fontId="23" fillId="11" borderId="10" xfId="0" applyNumberFormat="1" applyFont="1" applyFill="1" applyBorder="1" applyAlignment="1" applyProtection="1">
      <alignment horizontal="center" vertical="center" wrapText="1"/>
      <protection/>
    </xf>
    <xf numFmtId="3" fontId="23" fillId="26" borderId="10" xfId="0" applyNumberFormat="1" applyFont="1" applyFill="1" applyBorder="1" applyAlignment="1" applyProtection="1">
      <alignment horizontal="center" vertical="center" wrapText="1"/>
      <protection/>
    </xf>
    <xf numFmtId="3" fontId="23" fillId="26" borderId="19" xfId="0" applyNumberFormat="1" applyFont="1" applyFill="1" applyBorder="1" applyAlignment="1" applyProtection="1">
      <alignment horizontal="center" vertical="center" wrapText="1"/>
      <protection/>
    </xf>
    <xf numFmtId="178" fontId="23" fillId="11" borderId="10" xfId="42" applyNumberFormat="1" applyFont="1" applyFill="1" applyBorder="1" applyAlignment="1" applyProtection="1">
      <alignment horizontal="right" vertical="center" wrapText="1"/>
      <protection/>
    </xf>
    <xf numFmtId="178" fontId="23" fillId="26" borderId="10" xfId="42" applyNumberFormat="1" applyFont="1" applyFill="1" applyBorder="1" applyAlignment="1" applyProtection="1">
      <alignment horizontal="right" vertical="center" wrapText="1"/>
      <protection/>
    </xf>
    <xf numFmtId="178" fontId="23" fillId="26" borderId="19" xfId="42" applyNumberFormat="1" applyFont="1" applyFill="1" applyBorder="1" applyAlignment="1" applyProtection="1">
      <alignment horizontal="right" vertical="center" wrapText="1"/>
      <protection/>
    </xf>
    <xf numFmtId="178" fontId="23" fillId="26" borderId="19" xfId="42" applyNumberFormat="1" applyFont="1" applyFill="1" applyBorder="1" applyAlignment="1" applyProtection="1">
      <alignment horizontal="right" vertical="center"/>
      <protection/>
    </xf>
    <xf numFmtId="178" fontId="23" fillId="22" borderId="10" xfId="42" applyNumberFormat="1" applyFont="1" applyFill="1" applyBorder="1" applyAlignment="1" applyProtection="1">
      <alignment horizontal="right" vertical="center" wrapText="1"/>
      <protection/>
    </xf>
    <xf numFmtId="3" fontId="23" fillId="4" borderId="10" xfId="0" applyNumberFormat="1" applyFont="1" applyFill="1" applyBorder="1" applyAlignment="1" applyProtection="1">
      <alignment horizontal="center" vertical="center" wrapText="1"/>
      <protection/>
    </xf>
    <xf numFmtId="178" fontId="23" fillId="4" borderId="10" xfId="42" applyNumberFormat="1" applyFont="1" applyFill="1" applyBorder="1" applyAlignment="1" applyProtection="1">
      <alignment horizontal="right" vertical="center" wrapText="1"/>
      <protection/>
    </xf>
    <xf numFmtId="178" fontId="23" fillId="4" borderId="19" xfId="42" applyNumberFormat="1" applyFont="1" applyFill="1" applyBorder="1" applyAlignment="1" applyProtection="1">
      <alignment horizontal="right" vertical="center"/>
      <protection/>
    </xf>
    <xf numFmtId="190" fontId="30" fillId="0" borderId="10" xfId="0" applyNumberFormat="1" applyFont="1" applyFill="1" applyBorder="1" applyAlignment="1" applyProtection="1">
      <alignment vertical="center"/>
      <protection locked="0"/>
    </xf>
    <xf numFmtId="204" fontId="30" fillId="0" borderId="10" xfId="44" applyNumberFormat="1" applyFont="1" applyFill="1" applyBorder="1" applyAlignment="1" applyProtection="1">
      <alignment vertical="center"/>
      <protection locked="0"/>
    </xf>
    <xf numFmtId="0" fontId="23" fillId="20" borderId="41" xfId="0" applyFont="1" applyFill="1" applyBorder="1" applyAlignment="1" applyProtection="1">
      <alignment horizontal="right" vertical="center" wrapText="1"/>
      <protection/>
    </xf>
    <xf numFmtId="0" fontId="24" fillId="0" borderId="0" xfId="57" applyAlignment="1" applyProtection="1">
      <alignment vertical="center"/>
      <protection/>
    </xf>
    <xf numFmtId="0" fontId="23" fillId="0" borderId="0" xfId="57" applyFont="1" applyAlignment="1" applyProtection="1">
      <alignment vertical="center"/>
      <protection/>
    </xf>
    <xf numFmtId="0" fontId="24" fillId="0" borderId="0" xfId="57" applyProtection="1">
      <alignment/>
      <protection/>
    </xf>
    <xf numFmtId="4" fontId="24" fillId="0" borderId="0" xfId="57" applyNumberFormat="1" applyAlignment="1" applyProtection="1">
      <alignment wrapText="1"/>
      <protection/>
    </xf>
    <xf numFmtId="185" fontId="29" fillId="20" borderId="41" xfId="0" applyNumberFormat="1" applyFont="1" applyFill="1" applyBorder="1" applyAlignment="1" applyProtection="1">
      <alignment horizontal="center" vertical="center"/>
      <protection locked="0"/>
    </xf>
    <xf numFmtId="191" fontId="41" fillId="22" borderId="0" xfId="42" applyNumberFormat="1" applyFont="1" applyFill="1" applyBorder="1" applyAlignment="1" applyProtection="1">
      <alignment horizontal="right" vertical="center" indent="1"/>
      <protection locked="0"/>
    </xf>
    <xf numFmtId="191" fontId="41" fillId="22" borderId="21" xfId="42" applyNumberFormat="1" applyFont="1" applyFill="1" applyBorder="1" applyAlignment="1" applyProtection="1">
      <alignment horizontal="right" vertical="center" indent="1"/>
      <protection locked="0"/>
    </xf>
    <xf numFmtId="191" fontId="41" fillId="22" borderId="12" xfId="42" applyNumberFormat="1" applyFont="1" applyFill="1" applyBorder="1" applyAlignment="1" applyProtection="1">
      <alignment horizontal="right" vertical="center" indent="1"/>
      <protection locked="0"/>
    </xf>
    <xf numFmtId="191" fontId="41" fillId="22" borderId="15" xfId="42" applyNumberFormat="1" applyFont="1" applyFill="1" applyBorder="1" applyAlignment="1" applyProtection="1">
      <alignment horizontal="right" vertical="center" indent="1"/>
      <protection locked="0"/>
    </xf>
    <xf numFmtId="0" fontId="41" fillId="25" borderId="0" xfId="0" applyFont="1" applyFill="1" applyBorder="1" applyAlignment="1" applyProtection="1">
      <alignment horizontal="left" vertical="center" indent="1"/>
      <protection locked="0"/>
    </xf>
    <xf numFmtId="0" fontId="41" fillId="25" borderId="12" xfId="0" applyFont="1" applyFill="1" applyBorder="1" applyAlignment="1" applyProtection="1">
      <alignment horizontal="left" vertical="center" indent="1"/>
      <protection locked="0"/>
    </xf>
    <xf numFmtId="204" fontId="23" fillId="0" borderId="10" xfId="44" applyNumberFormat="1" applyFont="1" applyFill="1" applyBorder="1" applyAlignment="1" applyProtection="1">
      <alignment horizontal="right" vertical="center"/>
      <protection locked="0"/>
    </xf>
    <xf numFmtId="0" fontId="32" fillId="0" borderId="0" xfId="57" applyFont="1" applyProtection="1">
      <alignment/>
      <protection/>
    </xf>
    <xf numFmtId="3" fontId="23" fillId="0" borderId="0" xfId="0" applyNumberFormat="1" applyFont="1" applyAlignment="1" applyProtection="1">
      <alignment vertical="center"/>
      <protection/>
    </xf>
    <xf numFmtId="0" fontId="32" fillId="0" borderId="0" xfId="57" applyFont="1" applyAlignment="1" applyProtection="1">
      <alignment horizontal="left"/>
      <protection/>
    </xf>
    <xf numFmtId="0" fontId="32" fillId="0" borderId="0" xfId="57" applyFont="1" applyAlignment="1" applyProtection="1">
      <alignment horizontal="left" vertical="center"/>
      <protection/>
    </xf>
    <xf numFmtId="4" fontId="32" fillId="0" borderId="0" xfId="57" applyNumberFormat="1" applyFont="1" applyAlignment="1" applyProtection="1">
      <alignment horizontal="left" wrapText="1"/>
      <protection/>
    </xf>
    <xf numFmtId="178" fontId="32" fillId="0" borderId="0" xfId="42" applyNumberFormat="1" applyFont="1" applyAlignment="1" applyProtection="1">
      <alignment horizontal="left"/>
      <protection/>
    </xf>
    <xf numFmtId="178" fontId="32" fillId="0" borderId="0" xfId="57" applyNumberFormat="1" applyFont="1" applyAlignment="1" applyProtection="1">
      <alignment horizontal="left"/>
      <protection/>
    </xf>
    <xf numFmtId="186" fontId="23" fillId="4" borderId="10" xfId="0" applyNumberFormat="1" applyFont="1" applyFill="1" applyBorder="1" applyAlignment="1" applyProtection="1" quotePrefix="1">
      <alignment vertical="center"/>
      <protection/>
    </xf>
    <xf numFmtId="186" fontId="23" fillId="22" borderId="10" xfId="0" applyNumberFormat="1" applyFont="1" applyFill="1" applyBorder="1" applyAlignment="1" applyProtection="1">
      <alignment horizontal="right" vertical="center"/>
      <protection/>
    </xf>
    <xf numFmtId="0" fontId="23" fillId="0" borderId="0" xfId="0" applyFont="1" applyFill="1" applyBorder="1" applyAlignment="1" applyProtection="1">
      <alignment/>
      <protection/>
    </xf>
    <xf numFmtId="0" fontId="29" fillId="0" borderId="21" xfId="0" applyFont="1" applyFill="1" applyBorder="1" applyAlignment="1" applyProtection="1">
      <alignment/>
      <protection/>
    </xf>
    <xf numFmtId="191" fontId="23" fillId="24" borderId="10" xfId="0" applyNumberFormat="1" applyFont="1" applyFill="1" applyBorder="1" applyAlignment="1" applyProtection="1">
      <alignment vertical="center"/>
      <protection/>
    </xf>
    <xf numFmtId="194" fontId="23" fillId="0" borderId="0" xfId="0" applyNumberFormat="1" applyFont="1" applyAlignment="1" applyProtection="1">
      <alignment vertical="center"/>
      <protection/>
    </xf>
    <xf numFmtId="0" fontId="32" fillId="0" borderId="0" xfId="0" applyFont="1" applyAlignment="1" applyProtection="1">
      <alignment vertical="center"/>
      <protection/>
    </xf>
    <xf numFmtId="3" fontId="32" fillId="0" borderId="0" xfId="0" applyNumberFormat="1" applyFont="1" applyAlignment="1" applyProtection="1">
      <alignment vertical="center"/>
      <protection/>
    </xf>
    <xf numFmtId="0" fontId="29" fillId="25" borderId="15" xfId="0" applyFont="1" applyFill="1" applyBorder="1" applyAlignment="1" applyProtection="1">
      <alignment/>
      <protection locked="0"/>
    </xf>
    <xf numFmtId="0" fontId="29" fillId="25" borderId="21" xfId="0" applyFont="1" applyFill="1" applyBorder="1" applyAlignment="1" applyProtection="1">
      <alignment/>
      <protection locked="0"/>
    </xf>
    <xf numFmtId="0" fontId="29" fillId="25" borderId="19" xfId="0" applyFont="1" applyFill="1" applyBorder="1" applyAlignment="1" applyProtection="1">
      <alignment/>
      <protection locked="0"/>
    </xf>
    <xf numFmtId="0" fontId="29" fillId="25" borderId="27" xfId="0" applyFont="1" applyFill="1" applyBorder="1" applyAlignment="1" applyProtection="1">
      <alignment/>
      <protection locked="0"/>
    </xf>
    <xf numFmtId="0" fontId="29" fillId="25" borderId="14" xfId="0" applyFont="1" applyFill="1" applyBorder="1" applyAlignment="1" applyProtection="1">
      <alignment/>
      <protection locked="0"/>
    </xf>
    <xf numFmtId="0" fontId="1" fillId="25" borderId="14" xfId="53" applyFill="1" applyBorder="1" applyAlignment="1" applyProtection="1">
      <alignment/>
      <protection locked="0"/>
    </xf>
    <xf numFmtId="209" fontId="25" fillId="4" borderId="23" xfId="57" applyNumberFormat="1" applyFont="1" applyFill="1" applyBorder="1" applyAlignment="1" applyProtection="1">
      <alignment horizontal="center" vertical="center" wrapText="1"/>
      <protection/>
    </xf>
    <xf numFmtId="0" fontId="25" fillId="4" borderId="24" xfId="57" applyFont="1" applyFill="1" applyBorder="1" applyAlignment="1" applyProtection="1">
      <alignment horizontal="center" vertical="center" wrapText="1"/>
      <protection/>
    </xf>
    <xf numFmtId="0" fontId="25" fillId="4" borderId="25" xfId="57" applyFont="1" applyFill="1" applyBorder="1" applyAlignment="1" applyProtection="1">
      <alignment horizontal="center" vertical="center" wrapText="1"/>
      <protection/>
    </xf>
    <xf numFmtId="0" fontId="25" fillId="2" borderId="42" xfId="57" applyFont="1" applyFill="1" applyBorder="1" applyAlignment="1" applyProtection="1">
      <alignment horizontal="center" vertical="center" wrapText="1"/>
      <protection/>
    </xf>
    <xf numFmtId="0" fontId="25" fillId="2" borderId="24" xfId="57" applyFont="1" applyFill="1" applyBorder="1" applyAlignment="1" applyProtection="1">
      <alignment horizontal="center" vertical="center" wrapText="1"/>
      <protection/>
    </xf>
    <xf numFmtId="209" fontId="25" fillId="2" borderId="24" xfId="57" applyNumberFormat="1" applyFont="1" applyFill="1" applyBorder="1" applyAlignment="1" applyProtection="1">
      <alignment horizontal="center" vertical="center" wrapText="1"/>
      <protection/>
    </xf>
    <xf numFmtId="209" fontId="25" fillId="2" borderId="25" xfId="57" applyNumberFormat="1" applyFont="1" applyFill="1" applyBorder="1" applyAlignment="1" applyProtection="1">
      <alignment horizontal="center" vertical="center" wrapText="1"/>
      <protection/>
    </xf>
    <xf numFmtId="179" fontId="23" fillId="4" borderId="10" xfId="42" applyNumberFormat="1" applyFont="1" applyFill="1" applyBorder="1" applyAlignment="1" applyProtection="1">
      <alignment vertical="center"/>
      <protection/>
    </xf>
    <xf numFmtId="0" fontId="25" fillId="20" borderId="13" xfId="0" applyFont="1" applyFill="1" applyBorder="1" applyAlignment="1" applyProtection="1">
      <alignment horizontal="right" vertical="center"/>
      <protection/>
    </xf>
    <xf numFmtId="14" fontId="30" fillId="0" borderId="36" xfId="57" applyNumberFormat="1" applyFont="1" applyBorder="1" applyAlignment="1" applyProtection="1">
      <alignment horizontal="center"/>
      <protection locked="0"/>
    </xf>
    <xf numFmtId="14" fontId="30" fillId="0" borderId="35" xfId="57" applyNumberFormat="1" applyFont="1" applyBorder="1" applyProtection="1">
      <alignment/>
      <protection locked="0"/>
    </xf>
    <xf numFmtId="14" fontId="30" fillId="0" borderId="30" xfId="57" applyNumberFormat="1" applyFont="1" applyBorder="1" applyAlignment="1" applyProtection="1">
      <alignment horizontal="center"/>
      <protection locked="0"/>
    </xf>
    <xf numFmtId="14" fontId="29" fillId="0" borderId="12" xfId="0" applyNumberFormat="1" applyFont="1" applyBorder="1" applyAlignment="1" applyProtection="1">
      <alignment vertical="center"/>
      <protection locked="0"/>
    </xf>
    <xf numFmtId="0" fontId="30" fillId="0" borderId="10" xfId="0" applyFont="1" applyFill="1" applyBorder="1" applyAlignment="1" applyProtection="1">
      <alignment horizontal="left" vertical="center" wrapText="1"/>
      <protection locked="0"/>
    </xf>
    <xf numFmtId="0" fontId="25" fillId="20" borderId="16" xfId="0" applyFont="1" applyFill="1" applyBorder="1" applyAlignment="1" applyProtection="1">
      <alignment horizontal="right" vertical="center" wrapText="1"/>
      <protection/>
    </xf>
    <xf numFmtId="0" fontId="25" fillId="20" borderId="13" xfId="0" applyFont="1" applyFill="1" applyBorder="1" applyAlignment="1" applyProtection="1">
      <alignment horizontal="right" vertical="center" wrapText="1"/>
      <protection/>
    </xf>
    <xf numFmtId="0" fontId="25" fillId="20" borderId="11" xfId="0" applyFont="1" applyFill="1" applyBorder="1" applyAlignment="1" applyProtection="1">
      <alignment horizontal="right" vertical="center" wrapText="1"/>
      <protection/>
    </xf>
    <xf numFmtId="0" fontId="25" fillId="20" borderId="16" xfId="0" applyFont="1" applyFill="1" applyBorder="1" applyAlignment="1" applyProtection="1">
      <alignment horizontal="center" vertical="center"/>
      <protection/>
    </xf>
    <xf numFmtId="0" fontId="25" fillId="20" borderId="11" xfId="0" applyFont="1" applyFill="1" applyBorder="1" applyAlignment="1" applyProtection="1">
      <alignment horizontal="center" vertical="center"/>
      <protection/>
    </xf>
    <xf numFmtId="0" fontId="25" fillId="20" borderId="16" xfId="0" applyFont="1" applyFill="1" applyBorder="1" applyAlignment="1" applyProtection="1">
      <alignment vertical="center"/>
      <protection/>
    </xf>
    <xf numFmtId="0" fontId="25" fillId="20" borderId="11" xfId="0" applyFont="1" applyFill="1" applyBorder="1" applyAlignment="1" applyProtection="1">
      <alignment vertical="center"/>
      <protection/>
    </xf>
    <xf numFmtId="0" fontId="23" fillId="20" borderId="16" xfId="0" applyFont="1" applyFill="1" applyBorder="1" applyAlignment="1" applyProtection="1">
      <alignment horizontal="right" vertical="center" wrapText="1"/>
      <protection/>
    </xf>
    <xf numFmtId="0" fontId="23" fillId="20" borderId="13" xfId="0" applyFont="1" applyFill="1" applyBorder="1" applyAlignment="1" applyProtection="1">
      <alignment horizontal="right" vertical="center" wrapText="1"/>
      <protection/>
    </xf>
    <xf numFmtId="9" fontId="23" fillId="2" borderId="16" xfId="0" applyNumberFormat="1" applyFont="1" applyFill="1" applyBorder="1" applyAlignment="1" applyProtection="1">
      <alignment horizontal="left" vertical="center" wrapText="1"/>
      <protection/>
    </xf>
    <xf numFmtId="9" fontId="23" fillId="2" borderId="13" xfId="0" applyNumberFormat="1" applyFont="1" applyFill="1" applyBorder="1" applyAlignment="1" applyProtection="1">
      <alignment horizontal="left" vertical="center" wrapText="1"/>
      <protection/>
    </xf>
    <xf numFmtId="9" fontId="23" fillId="2" borderId="11" xfId="0" applyNumberFormat="1" applyFont="1" applyFill="1" applyBorder="1" applyAlignment="1" applyProtection="1">
      <alignment horizontal="left" vertical="center" wrapText="1"/>
      <protection/>
    </xf>
    <xf numFmtId="0" fontId="23" fillId="0" borderId="16" xfId="0" applyFont="1" applyBorder="1" applyAlignment="1" applyProtection="1">
      <alignment horizontal="left" vertical="center" wrapText="1"/>
      <protection/>
    </xf>
    <xf numFmtId="0" fontId="23" fillId="0" borderId="13" xfId="0" applyFont="1" applyBorder="1" applyAlignment="1" applyProtection="1">
      <alignment horizontal="left" vertical="center" wrapText="1"/>
      <protection/>
    </xf>
    <xf numFmtId="0" fontId="23" fillId="0" borderId="11" xfId="0" applyFont="1" applyBorder="1" applyAlignment="1" applyProtection="1">
      <alignment vertical="center"/>
      <protection/>
    </xf>
    <xf numFmtId="0" fontId="23" fillId="0" borderId="13" xfId="0" applyFont="1" applyBorder="1" applyAlignment="1" applyProtection="1">
      <alignment vertical="center" wrapText="1"/>
      <protection/>
    </xf>
    <xf numFmtId="0" fontId="25" fillId="20" borderId="11" xfId="0" applyFont="1" applyFill="1" applyBorder="1" applyAlignment="1" applyProtection="1">
      <alignment horizontal="left" vertical="center" wrapText="1"/>
      <protection/>
    </xf>
    <xf numFmtId="0" fontId="23" fillId="0" borderId="16" xfId="0" applyFont="1" applyBorder="1" applyAlignment="1" applyProtection="1">
      <alignment vertical="center" wrapText="1"/>
      <protection/>
    </xf>
    <xf numFmtId="0" fontId="23" fillId="0" borderId="11" xfId="0" applyFont="1" applyBorder="1" applyAlignment="1" applyProtection="1">
      <alignment vertical="center" wrapText="1"/>
      <protection/>
    </xf>
    <xf numFmtId="0" fontId="25" fillId="0" borderId="0" xfId="0" applyFont="1" applyAlignment="1" applyProtection="1">
      <alignment vertical="center" wrapText="1"/>
      <protection/>
    </xf>
    <xf numFmtId="0" fontId="23" fillId="0" borderId="0" xfId="0" applyFont="1" applyAlignment="1" applyProtection="1">
      <alignment vertical="center" wrapText="1"/>
      <protection/>
    </xf>
    <xf numFmtId="0" fontId="23" fillId="2" borderId="16" xfId="0" applyFont="1" applyFill="1" applyBorder="1" applyAlignment="1" applyProtection="1">
      <alignment horizontal="left" vertical="center" wrapText="1"/>
      <protection/>
    </xf>
    <xf numFmtId="0" fontId="23" fillId="2" borderId="13" xfId="0" applyFont="1" applyFill="1" applyBorder="1" applyAlignment="1" applyProtection="1">
      <alignment horizontal="left" vertical="center" wrapText="1"/>
      <protection/>
    </xf>
    <xf numFmtId="0" fontId="23" fillId="2" borderId="11" xfId="0" applyFont="1" applyFill="1" applyBorder="1" applyAlignment="1" applyProtection="1">
      <alignment horizontal="left" vertical="center" wrapText="1"/>
      <protection/>
    </xf>
    <xf numFmtId="0" fontId="23" fillId="7" borderId="11" xfId="0" applyFont="1" applyFill="1" applyBorder="1" applyAlignment="1" applyProtection="1">
      <alignment vertical="center" wrapText="1"/>
      <protection/>
    </xf>
    <xf numFmtId="0" fontId="25" fillId="20" borderId="16" xfId="0" applyFont="1" applyFill="1" applyBorder="1" applyAlignment="1" applyProtection="1">
      <alignment horizontal="left" vertical="center" wrapText="1"/>
      <protection/>
    </xf>
    <xf numFmtId="0" fontId="25" fillId="20" borderId="16" xfId="0" applyFont="1" applyFill="1" applyBorder="1" applyAlignment="1" applyProtection="1">
      <alignment horizontal="center"/>
      <protection/>
    </xf>
    <xf numFmtId="0" fontId="25" fillId="20" borderId="13" xfId="0" applyFont="1" applyFill="1" applyBorder="1" applyAlignment="1" applyProtection="1">
      <alignment horizontal="center"/>
      <protection/>
    </xf>
    <xf numFmtId="0" fontId="25" fillId="20" borderId="10" xfId="0" applyFont="1" applyFill="1" applyBorder="1" applyAlignment="1" applyProtection="1">
      <alignment horizontal="center"/>
      <protection/>
    </xf>
    <xf numFmtId="0" fontId="28" fillId="0" borderId="0" xfId="0" applyFont="1" applyAlignment="1" applyProtection="1">
      <alignment horizontal="center" vertical="center" wrapText="1"/>
      <protection/>
    </xf>
    <xf numFmtId="0" fontId="25" fillId="22" borderId="16" xfId="0" applyFont="1" applyFill="1" applyBorder="1" applyAlignment="1" applyProtection="1">
      <alignment horizontal="left" vertical="center"/>
      <protection/>
    </xf>
    <xf numFmtId="0" fontId="46" fillId="0" borderId="11" xfId="0" applyFont="1" applyBorder="1" applyAlignment="1" applyProtection="1">
      <alignment vertical="center"/>
      <protection/>
    </xf>
    <xf numFmtId="0" fontId="23" fillId="22" borderId="17" xfId="0" applyFont="1" applyFill="1" applyBorder="1" applyAlignment="1" applyProtection="1">
      <alignment horizontal="left" vertical="center" wrapText="1"/>
      <protection/>
    </xf>
    <xf numFmtId="0" fontId="0" fillId="0" borderId="43" xfId="0" applyBorder="1" applyAlignment="1" applyProtection="1">
      <alignment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25" fillId="4" borderId="16" xfId="0" applyFont="1" applyFill="1" applyBorder="1" applyAlignment="1" applyProtection="1">
      <alignment horizontal="left" vertical="center"/>
      <protection/>
    </xf>
    <xf numFmtId="0" fontId="23" fillId="7" borderId="16" xfId="0" applyFont="1" applyFill="1" applyBorder="1" applyAlignment="1" applyProtection="1">
      <alignment vertical="center" wrapText="1"/>
      <protection/>
    </xf>
    <xf numFmtId="0" fontId="23" fillId="20" borderId="11" xfId="0" applyFont="1" applyFill="1" applyBorder="1" applyAlignment="1" applyProtection="1">
      <alignment horizontal="right" vertical="center" wrapText="1"/>
      <protection/>
    </xf>
    <xf numFmtId="0" fontId="23" fillId="4" borderId="16" xfId="0" applyFont="1" applyFill="1" applyBorder="1" applyAlignment="1" applyProtection="1">
      <alignment vertical="center"/>
      <protection/>
    </xf>
    <xf numFmtId="0" fontId="23" fillId="4" borderId="11" xfId="0" applyFont="1" applyFill="1" applyBorder="1" applyAlignment="1" applyProtection="1">
      <alignment vertical="center"/>
      <protection/>
    </xf>
    <xf numFmtId="0" fontId="23" fillId="0" borderId="12" xfId="0" applyFont="1" applyBorder="1" applyAlignment="1" applyProtection="1">
      <alignment vertical="center" wrapText="1"/>
      <protection/>
    </xf>
    <xf numFmtId="0" fontId="23" fillId="0" borderId="12" xfId="0" applyFont="1" applyBorder="1" applyAlignment="1" applyProtection="1">
      <alignment vertical="center"/>
      <protection/>
    </xf>
    <xf numFmtId="0" fontId="23" fillId="0" borderId="0" xfId="0" applyFont="1" applyBorder="1" applyAlignment="1" applyProtection="1">
      <alignment vertical="center"/>
      <protection/>
    </xf>
    <xf numFmtId="0" fontId="25" fillId="20" borderId="10" xfId="0" applyFont="1" applyFill="1" applyBorder="1" applyAlignment="1" applyProtection="1">
      <alignment vertical="center" wrapText="1"/>
      <protection/>
    </xf>
    <xf numFmtId="0" fontId="25" fillId="20" borderId="10" xfId="0" applyFont="1" applyFill="1" applyBorder="1" applyAlignment="1" applyProtection="1">
      <alignment vertical="center"/>
      <protection/>
    </xf>
    <xf numFmtId="0" fontId="23" fillId="22" borderId="10" xfId="0" applyFont="1" applyFill="1" applyBorder="1" applyAlignment="1" applyProtection="1">
      <alignment vertical="center" wrapText="1"/>
      <protection/>
    </xf>
    <xf numFmtId="0" fontId="23" fillId="22" borderId="10" xfId="0" applyFont="1" applyFill="1" applyBorder="1" applyAlignment="1" applyProtection="1">
      <alignment vertical="center"/>
      <protection/>
    </xf>
    <xf numFmtId="0" fontId="23" fillId="12" borderId="10" xfId="0" applyFont="1" applyFill="1" applyBorder="1" applyAlignment="1" applyProtection="1">
      <alignment vertical="center" wrapText="1"/>
      <protection/>
    </xf>
    <xf numFmtId="0" fontId="23" fillId="12" borderId="10" xfId="0" applyFont="1" applyFill="1" applyBorder="1" applyAlignment="1" applyProtection="1">
      <alignment vertical="center"/>
      <protection/>
    </xf>
    <xf numFmtId="185" fontId="23" fillId="22" borderId="10" xfId="0" applyNumberFormat="1" applyFont="1" applyFill="1" applyBorder="1" applyAlignment="1" applyProtection="1">
      <alignment horizontal="right" vertical="center"/>
      <protection/>
    </xf>
    <xf numFmtId="0" fontId="23" fillId="22" borderId="10" xfId="0" applyFont="1" applyFill="1" applyBorder="1" applyAlignment="1" applyProtection="1">
      <alignment horizontal="right" vertical="center"/>
      <protection/>
    </xf>
    <xf numFmtId="0" fontId="23" fillId="24" borderId="10" xfId="0" applyFont="1" applyFill="1" applyBorder="1" applyAlignment="1" applyProtection="1">
      <alignment horizontal="right" vertical="center" wrapText="1"/>
      <protection/>
    </xf>
    <xf numFmtId="0" fontId="23" fillId="24" borderId="10" xfId="0" applyFont="1" applyFill="1" applyBorder="1" applyAlignment="1" applyProtection="1">
      <alignment horizontal="right" vertical="center"/>
      <protection/>
    </xf>
    <xf numFmtId="0" fontId="23" fillId="4" borderId="16" xfId="0" applyFont="1" applyFill="1" applyBorder="1" applyAlignment="1" applyProtection="1">
      <alignment horizontal="left" vertical="center" wrapText="1"/>
      <protection/>
    </xf>
    <xf numFmtId="0" fontId="0" fillId="0" borderId="11" xfId="0" applyBorder="1" applyAlignment="1" applyProtection="1">
      <alignment vertical="center"/>
      <protection/>
    </xf>
    <xf numFmtId="0" fontId="23" fillId="4" borderId="17" xfId="0" applyFont="1" applyFill="1" applyBorder="1" applyAlignment="1" applyProtection="1">
      <alignment horizontal="left" vertical="center" wrapText="1"/>
      <protection/>
    </xf>
    <xf numFmtId="185" fontId="23" fillId="4" borderId="19" xfId="0" applyNumberFormat="1" applyFont="1" applyFill="1" applyBorder="1" applyAlignment="1" applyProtection="1">
      <alignment horizontal="right" vertical="center"/>
      <protection/>
    </xf>
    <xf numFmtId="185" fontId="23" fillId="4" borderId="14" xfId="0" applyNumberFormat="1" applyFont="1" applyFill="1" applyBorder="1" applyAlignment="1" applyProtection="1">
      <alignment horizontal="right" vertical="center"/>
      <protection/>
    </xf>
    <xf numFmtId="178" fontId="23" fillId="22" borderId="19" xfId="0" applyNumberFormat="1" applyFont="1" applyFill="1" applyBorder="1" applyAlignment="1" applyProtection="1">
      <alignment horizontal="right" vertical="center"/>
      <protection/>
    </xf>
    <xf numFmtId="178" fontId="23" fillId="22" borderId="14" xfId="0" applyNumberFormat="1" applyFont="1" applyFill="1" applyBorder="1" applyAlignment="1" applyProtection="1">
      <alignment horizontal="right" vertical="center"/>
      <protection/>
    </xf>
    <xf numFmtId="0" fontId="23" fillId="4" borderId="10" xfId="0" applyFont="1" applyFill="1" applyBorder="1" applyAlignment="1" applyProtection="1">
      <alignment horizontal="right" vertical="center" wrapText="1"/>
      <protection/>
    </xf>
    <xf numFmtId="0" fontId="23" fillId="4" borderId="10" xfId="0" applyFont="1" applyFill="1" applyBorder="1" applyAlignment="1" applyProtection="1">
      <alignment horizontal="right" vertical="center"/>
      <protection/>
    </xf>
    <xf numFmtId="0" fontId="23" fillId="11" borderId="10" xfId="0" applyFont="1" applyFill="1" applyBorder="1" applyAlignment="1" applyProtection="1">
      <alignment horizontal="right" vertical="center" wrapText="1"/>
      <protection/>
    </xf>
    <xf numFmtId="0" fontId="23" fillId="11" borderId="10" xfId="0" applyFont="1" applyFill="1" applyBorder="1" applyAlignment="1" applyProtection="1">
      <alignment horizontal="right" vertical="center"/>
      <protection/>
    </xf>
    <xf numFmtId="0" fontId="23" fillId="12" borderId="10" xfId="0" applyFont="1" applyFill="1" applyBorder="1" applyAlignment="1" applyProtection="1">
      <alignment horizontal="right" vertical="center" wrapText="1"/>
      <protection/>
    </xf>
    <xf numFmtId="0" fontId="23" fillId="12" borderId="10" xfId="0" applyFont="1" applyFill="1" applyBorder="1" applyAlignment="1" applyProtection="1">
      <alignment horizontal="right" vertical="center"/>
      <protection/>
    </xf>
    <xf numFmtId="0" fontId="23" fillId="22" borderId="10" xfId="0" applyFont="1" applyFill="1" applyBorder="1" applyAlignment="1" applyProtection="1">
      <alignment horizontal="right" vertical="center" wrapText="1"/>
      <protection/>
    </xf>
    <xf numFmtId="0" fontId="23" fillId="24" borderId="16" xfId="0" applyFont="1" applyFill="1" applyBorder="1" applyAlignment="1" applyProtection="1">
      <alignment vertical="center"/>
      <protection/>
    </xf>
    <xf numFmtId="0" fontId="23" fillId="24" borderId="11" xfId="0" applyFont="1" applyFill="1" applyBorder="1" applyAlignment="1" applyProtection="1">
      <alignment vertical="center"/>
      <protection/>
    </xf>
    <xf numFmtId="0" fontId="23" fillId="22" borderId="16" xfId="0" applyFont="1" applyFill="1" applyBorder="1" applyAlignment="1" applyProtection="1">
      <alignment vertical="center"/>
      <protection/>
    </xf>
    <xf numFmtId="0" fontId="23" fillId="22" borderId="11" xfId="0" applyFont="1" applyFill="1" applyBorder="1" applyAlignment="1" applyProtection="1">
      <alignment vertical="center"/>
      <protection/>
    </xf>
    <xf numFmtId="0" fontId="23" fillId="4" borderId="10" xfId="0" applyFont="1" applyFill="1" applyBorder="1" applyAlignment="1" applyProtection="1">
      <alignment vertical="center" wrapText="1"/>
      <protection/>
    </xf>
    <xf numFmtId="0" fontId="23" fillId="4" borderId="10" xfId="0" applyFont="1" applyFill="1" applyBorder="1" applyAlignment="1" applyProtection="1">
      <alignment vertical="center"/>
      <protection/>
    </xf>
    <xf numFmtId="0" fontId="23" fillId="20" borderId="10" xfId="0" applyFont="1" applyFill="1" applyBorder="1" applyAlignment="1" applyProtection="1">
      <alignment horizontal="right" vertical="center" wrapText="1"/>
      <protection/>
    </xf>
    <xf numFmtId="0" fontId="23" fillId="20" borderId="10" xfId="0" applyFont="1" applyFill="1" applyBorder="1" applyAlignment="1" applyProtection="1">
      <alignment horizontal="right" vertical="center"/>
      <protection/>
    </xf>
    <xf numFmtId="0" fontId="23" fillId="26" borderId="16" xfId="0" applyFont="1" applyFill="1" applyBorder="1" applyAlignment="1" applyProtection="1">
      <alignment vertical="center" wrapText="1"/>
      <protection/>
    </xf>
    <xf numFmtId="0" fontId="23" fillId="26" borderId="13" xfId="0" applyFont="1" applyFill="1" applyBorder="1" applyAlignment="1" applyProtection="1">
      <alignment vertical="center"/>
      <protection/>
    </xf>
    <xf numFmtId="0" fontId="23" fillId="26" borderId="11" xfId="0" applyFont="1" applyFill="1" applyBorder="1" applyAlignment="1" applyProtection="1">
      <alignment vertical="center"/>
      <protection/>
    </xf>
    <xf numFmtId="0" fontId="23" fillId="26" borderId="10" xfId="0" applyFont="1" applyFill="1" applyBorder="1" applyAlignment="1" applyProtection="1">
      <alignment horizontal="right" vertical="center" wrapText="1"/>
      <protection/>
    </xf>
    <xf numFmtId="0" fontId="23" fillId="26" borderId="10" xfId="0" applyFont="1" applyFill="1" applyBorder="1" applyAlignment="1" applyProtection="1">
      <alignment horizontal="right" vertical="center"/>
      <protection/>
    </xf>
    <xf numFmtId="178" fontId="25" fillId="20" borderId="19" xfId="0" applyNumberFormat="1" applyFont="1" applyFill="1" applyBorder="1" applyAlignment="1" applyProtection="1">
      <alignment horizontal="center" vertical="center" wrapText="1"/>
      <protection/>
    </xf>
    <xf numFmtId="178" fontId="25" fillId="20" borderId="27" xfId="0" applyNumberFormat="1" applyFont="1" applyFill="1" applyBorder="1" applyAlignment="1" applyProtection="1">
      <alignment horizontal="center" vertical="center" wrapText="1"/>
      <protection/>
    </xf>
    <xf numFmtId="178" fontId="25" fillId="20" borderId="14" xfId="0" applyNumberFormat="1" applyFont="1" applyFill="1" applyBorder="1" applyAlignment="1" applyProtection="1">
      <alignment horizontal="center" vertical="center" wrapText="1"/>
      <protection/>
    </xf>
    <xf numFmtId="0" fontId="25" fillId="20" borderId="16" xfId="0" applyFont="1" applyFill="1" applyBorder="1" applyAlignment="1" applyProtection="1">
      <alignment horizontal="center" vertical="center" wrapText="1"/>
      <protection/>
    </xf>
    <xf numFmtId="0" fontId="23" fillId="11" borderId="10" xfId="0" applyFont="1" applyFill="1" applyBorder="1" applyAlignment="1" applyProtection="1">
      <alignment vertical="center" wrapText="1"/>
      <protection/>
    </xf>
    <xf numFmtId="0" fontId="23" fillId="11" borderId="10" xfId="0" applyFont="1" applyFill="1" applyBorder="1" applyAlignment="1" applyProtection="1">
      <alignment vertical="center"/>
      <protection/>
    </xf>
    <xf numFmtId="0" fontId="23" fillId="26" borderId="10" xfId="0" applyFont="1" applyFill="1" applyBorder="1" applyAlignment="1" applyProtection="1">
      <alignment vertical="center" wrapText="1"/>
      <protection/>
    </xf>
    <xf numFmtId="0" fontId="23" fillId="26" borderId="10" xfId="0" applyFont="1" applyFill="1" applyBorder="1" applyAlignment="1" applyProtection="1">
      <alignment vertical="center"/>
      <protection/>
    </xf>
    <xf numFmtId="0" fontId="23" fillId="22" borderId="16" xfId="0" applyFont="1" applyFill="1" applyBorder="1" applyAlignment="1" applyProtection="1">
      <alignment vertical="center" wrapText="1"/>
      <protection/>
    </xf>
    <xf numFmtId="0" fontId="23" fillId="22" borderId="13" xfId="0" applyFont="1" applyFill="1" applyBorder="1" applyAlignment="1" applyProtection="1">
      <alignment vertical="center"/>
      <protection/>
    </xf>
    <xf numFmtId="0" fontId="23" fillId="0" borderId="13" xfId="0" applyFont="1" applyBorder="1" applyAlignment="1" applyProtection="1">
      <alignment vertical="center"/>
      <protection/>
    </xf>
    <xf numFmtId="0" fontId="23" fillId="24" borderId="16" xfId="0" applyFont="1" applyFill="1" applyBorder="1" applyAlignment="1" applyProtection="1">
      <alignment vertical="center" wrapText="1"/>
      <protection/>
    </xf>
    <xf numFmtId="0" fontId="23" fillId="12" borderId="16" xfId="0" applyFont="1" applyFill="1" applyBorder="1" applyAlignment="1" applyProtection="1">
      <alignment vertical="center" wrapText="1"/>
      <protection/>
    </xf>
    <xf numFmtId="0" fontId="23" fillId="11" borderId="16" xfId="0" applyFont="1" applyFill="1" applyBorder="1" applyAlignment="1" applyProtection="1">
      <alignment vertical="center" wrapText="1"/>
      <protection/>
    </xf>
    <xf numFmtId="0" fontId="23" fillId="24" borderId="10" xfId="0" applyFont="1" applyFill="1" applyBorder="1" applyAlignment="1" applyProtection="1">
      <alignment vertical="center" wrapText="1"/>
      <protection/>
    </xf>
    <xf numFmtId="0" fontId="23" fillId="24" borderId="10" xfId="0" applyFont="1" applyFill="1" applyBorder="1" applyAlignment="1" applyProtection="1">
      <alignment vertical="center"/>
      <protection/>
    </xf>
    <xf numFmtId="0" fontId="40" fillId="4" borderId="10" xfId="0" applyFont="1" applyFill="1" applyBorder="1" applyAlignment="1" applyProtection="1">
      <alignment horizontal="left" vertical="center" wrapText="1"/>
      <protection/>
    </xf>
    <xf numFmtId="0" fontId="23" fillId="4" borderId="10" xfId="0" applyFont="1" applyFill="1" applyBorder="1" applyAlignment="1" applyProtection="1">
      <alignment horizontal="left" vertical="center" wrapText="1"/>
      <protection/>
    </xf>
    <xf numFmtId="0" fontId="23" fillId="22" borderId="10" xfId="0" applyFont="1" applyFill="1" applyBorder="1" applyAlignment="1" applyProtection="1">
      <alignment horizontal="left" vertical="center" wrapText="1"/>
      <protection/>
    </xf>
    <xf numFmtId="0" fontId="25" fillId="20" borderId="19" xfId="0" applyFont="1" applyFill="1" applyBorder="1" applyAlignment="1" applyProtection="1">
      <alignment horizontal="center" vertical="center" wrapText="1"/>
      <protection/>
    </xf>
    <xf numFmtId="0" fontId="25" fillId="20" borderId="27" xfId="0" applyFont="1" applyFill="1" applyBorder="1" applyAlignment="1" applyProtection="1">
      <alignment horizontal="center" vertical="center" wrapText="1"/>
      <protection/>
    </xf>
    <xf numFmtId="0" fontId="25" fillId="20" borderId="14" xfId="0" applyFont="1" applyFill="1" applyBorder="1" applyAlignment="1" applyProtection="1">
      <alignment horizontal="center" vertical="center" wrapText="1"/>
      <protection/>
    </xf>
    <xf numFmtId="0" fontId="0" fillId="0" borderId="12" xfId="0" applyFont="1" applyBorder="1" applyAlignment="1" applyProtection="1">
      <alignment vertical="center" wrapText="1"/>
      <protection/>
    </xf>
    <xf numFmtId="178" fontId="25" fillId="20" borderId="10" xfId="0" applyNumberFormat="1" applyFont="1" applyFill="1" applyBorder="1" applyAlignment="1" applyProtection="1">
      <alignment horizontal="center" vertical="center" wrapText="1"/>
      <protection/>
    </xf>
    <xf numFmtId="0" fontId="23" fillId="4" borderId="16" xfId="0" applyFont="1" applyFill="1" applyBorder="1" applyAlignment="1" applyProtection="1">
      <alignment vertical="center" wrapText="1"/>
      <protection/>
    </xf>
    <xf numFmtId="0" fontId="28" fillId="0" borderId="0" xfId="0" applyFont="1" applyAlignment="1" applyProtection="1">
      <alignment horizontal="center" vertical="center"/>
      <protection/>
    </xf>
    <xf numFmtId="0" fontId="25" fillId="20" borderId="10" xfId="0" applyFont="1" applyFill="1" applyBorder="1" applyAlignment="1" applyProtection="1">
      <alignment horizontal="center" vertical="center"/>
      <protection/>
    </xf>
    <xf numFmtId="0" fontId="40" fillId="22" borderId="10" xfId="0" applyFont="1" applyFill="1" applyBorder="1" applyAlignment="1" applyProtection="1">
      <alignment horizontal="left" vertical="center" wrapText="1"/>
      <protection/>
    </xf>
    <xf numFmtId="0" fontId="23" fillId="24" borderId="16" xfId="0" applyFont="1" applyFill="1" applyBorder="1" applyAlignment="1" applyProtection="1">
      <alignment horizontal="left" vertical="center"/>
      <protection/>
    </xf>
    <xf numFmtId="0" fontId="23" fillId="24" borderId="11" xfId="0" applyFont="1" applyFill="1" applyBorder="1" applyAlignment="1" applyProtection="1">
      <alignment horizontal="left" vertical="center"/>
      <protection/>
    </xf>
    <xf numFmtId="0" fontId="25" fillId="20" borderId="16" xfId="0" applyFont="1" applyFill="1" applyBorder="1" applyAlignment="1" applyProtection="1">
      <alignment vertical="center" wrapText="1"/>
      <protection/>
    </xf>
    <xf numFmtId="0" fontId="25" fillId="20" borderId="13" xfId="0" applyFont="1" applyFill="1" applyBorder="1" applyAlignment="1" applyProtection="1">
      <alignment vertical="center" wrapText="1"/>
      <protection/>
    </xf>
    <xf numFmtId="0" fontId="25" fillId="20" borderId="11" xfId="0" applyFont="1" applyFill="1" applyBorder="1" applyAlignment="1" applyProtection="1">
      <alignment vertical="center" wrapText="1"/>
      <protection/>
    </xf>
    <xf numFmtId="0" fontId="25" fillId="20" borderId="10" xfId="0" applyFont="1" applyFill="1" applyBorder="1" applyAlignment="1" applyProtection="1">
      <alignment horizontal="right" vertical="center" wrapText="1"/>
      <protection/>
    </xf>
    <xf numFmtId="0" fontId="25" fillId="20" borderId="10" xfId="0" applyFont="1" applyFill="1" applyBorder="1" applyAlignment="1" applyProtection="1">
      <alignment horizontal="right" vertical="center"/>
      <protection/>
    </xf>
    <xf numFmtId="0" fontId="0" fillId="0" borderId="0" xfId="0" applyAlignment="1" applyProtection="1">
      <alignment vertical="center" wrapText="1"/>
      <protection/>
    </xf>
    <xf numFmtId="0" fontId="42" fillId="0" borderId="16" xfId="0" applyFont="1" applyFill="1" applyBorder="1" applyAlignment="1" applyProtection="1">
      <alignment horizontal="left" vertical="center" wrapText="1"/>
      <protection/>
    </xf>
    <xf numFmtId="0" fontId="42" fillId="0" borderId="13" xfId="0" applyFont="1" applyFill="1" applyBorder="1" applyAlignment="1" applyProtection="1">
      <alignment horizontal="left" vertical="center" wrapText="1"/>
      <protection/>
    </xf>
    <xf numFmtId="0" fontId="42" fillId="0" borderId="11" xfId="0" applyFont="1" applyFill="1" applyBorder="1" applyAlignment="1" applyProtection="1">
      <alignment horizontal="left" vertical="center" wrapText="1"/>
      <protection/>
    </xf>
    <xf numFmtId="0" fontId="2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horizontal="left" vertical="center" wrapText="1"/>
      <protection/>
    </xf>
    <xf numFmtId="0" fontId="25" fillId="20" borderId="17" xfId="0" applyFont="1" applyFill="1" applyBorder="1" applyAlignment="1" applyProtection="1">
      <alignment horizontal="center" vertical="center" wrapText="1"/>
      <protection/>
    </xf>
    <xf numFmtId="0" fontId="25" fillId="20" borderId="43" xfId="0" applyFont="1" applyFill="1" applyBorder="1" applyAlignment="1" applyProtection="1">
      <alignment horizontal="center" vertical="center" wrapText="1"/>
      <protection/>
    </xf>
    <xf numFmtId="0" fontId="25" fillId="20" borderId="22" xfId="0" applyFont="1" applyFill="1" applyBorder="1" applyAlignment="1" applyProtection="1">
      <alignment horizontal="center" vertical="center" wrapText="1"/>
      <protection/>
    </xf>
    <xf numFmtId="0" fontId="25" fillId="20" borderId="21" xfId="0" applyFont="1" applyFill="1" applyBorder="1" applyAlignment="1" applyProtection="1">
      <alignment horizontal="center" vertical="center" wrapText="1"/>
      <protection/>
    </xf>
    <xf numFmtId="0" fontId="25" fillId="20" borderId="20" xfId="0" applyFont="1" applyFill="1" applyBorder="1" applyAlignment="1" applyProtection="1">
      <alignment horizontal="center" vertical="center" wrapText="1"/>
      <protection/>
    </xf>
    <xf numFmtId="0" fontId="25" fillId="20" borderId="15" xfId="0" applyFont="1" applyFill="1" applyBorder="1" applyAlignment="1" applyProtection="1">
      <alignment horizontal="center" vertical="center" wrapText="1"/>
      <protection/>
    </xf>
    <xf numFmtId="0" fontId="28"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40" fillId="20" borderId="16" xfId="0" applyFont="1" applyFill="1" applyBorder="1" applyAlignment="1" applyProtection="1">
      <alignment horizontal="center" vertical="center"/>
      <protection/>
    </xf>
    <xf numFmtId="0" fontId="40" fillId="20" borderId="13" xfId="0" applyFont="1" applyFill="1" applyBorder="1" applyAlignment="1" applyProtection="1">
      <alignment horizontal="center" vertical="center"/>
      <protection/>
    </xf>
    <xf numFmtId="0" fontId="40" fillId="20" borderId="11" xfId="0" applyFont="1" applyFill="1" applyBorder="1" applyAlignment="1" applyProtection="1">
      <alignment horizontal="center" vertical="center"/>
      <protection/>
    </xf>
    <xf numFmtId="0" fontId="25" fillId="20" borderId="13"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3" fillId="0" borderId="0" xfId="0" applyFont="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20" borderId="44" xfId="57" applyFont="1" applyFill="1" applyBorder="1" applyAlignment="1" applyProtection="1">
      <alignment horizontal="right" vertical="center" wrapText="1"/>
      <protection/>
    </xf>
    <xf numFmtId="0" fontId="23" fillId="0" borderId="45" xfId="0" applyFont="1" applyBorder="1" applyAlignment="1" applyProtection="1">
      <alignment horizontal="right" vertical="center" wrapText="1"/>
      <protection/>
    </xf>
    <xf numFmtId="0" fontId="23" fillId="0" borderId="41" xfId="0" applyFont="1" applyBorder="1" applyAlignment="1" applyProtection="1">
      <alignment horizontal="right" vertical="center" wrapText="1"/>
      <protection/>
    </xf>
    <xf numFmtId="0" fontId="23" fillId="20" borderId="46" xfId="57" applyFont="1" applyFill="1" applyBorder="1" applyAlignment="1" applyProtection="1">
      <alignment horizontal="right" vertical="center" wrapText="1"/>
      <protection/>
    </xf>
    <xf numFmtId="0" fontId="23" fillId="20" borderId="47" xfId="57" applyFont="1" applyFill="1" applyBorder="1" applyAlignment="1" applyProtection="1">
      <alignment horizontal="right" vertical="center" wrapText="1"/>
      <protection/>
    </xf>
    <xf numFmtId="0" fontId="23" fillId="20" borderId="33" xfId="57" applyFont="1" applyFill="1" applyBorder="1" applyAlignment="1" applyProtection="1">
      <alignment horizontal="right" vertical="center" wrapText="1"/>
      <protection/>
    </xf>
    <xf numFmtId="0" fontId="28" fillId="0" borderId="0" xfId="57" applyFont="1" applyAlignment="1" applyProtection="1">
      <alignment horizontal="center" vertical="center"/>
      <protection/>
    </xf>
    <xf numFmtId="0" fontId="25" fillId="20" borderId="23" xfId="57" applyFont="1" applyFill="1" applyBorder="1" applyAlignment="1" applyProtection="1">
      <alignment horizontal="center" vertical="center" wrapText="1"/>
      <protection/>
    </xf>
    <xf numFmtId="0" fontId="25" fillId="20" borderId="25" xfId="57" applyFont="1" applyFill="1" applyBorder="1" applyAlignment="1" applyProtection="1">
      <alignment horizontal="center" vertical="center" wrapText="1"/>
      <protection/>
    </xf>
    <xf numFmtId="0" fontId="25" fillId="20" borderId="48" xfId="57" applyFont="1" applyFill="1" applyBorder="1" applyAlignment="1" applyProtection="1">
      <alignment horizontal="center" vertical="center"/>
      <protection/>
    </xf>
    <xf numFmtId="0" fontId="25" fillId="20" borderId="42" xfId="57" applyFont="1" applyFill="1" applyBorder="1" applyAlignment="1" applyProtection="1">
      <alignment horizontal="center" vertical="center"/>
      <protection/>
    </xf>
    <xf numFmtId="0" fontId="25" fillId="20" borderId="49" xfId="57" applyFont="1" applyFill="1" applyBorder="1" applyAlignment="1" applyProtection="1">
      <alignment horizontal="center" vertical="center"/>
      <protection/>
    </xf>
    <xf numFmtId="0" fontId="25" fillId="4" borderId="48" xfId="57" applyFont="1" applyFill="1" applyBorder="1" applyAlignment="1" applyProtection="1">
      <alignment horizontal="center" vertical="center"/>
      <protection/>
    </xf>
    <xf numFmtId="0" fontId="25" fillId="4" borderId="42" xfId="57" applyFont="1" applyFill="1" applyBorder="1" applyAlignment="1" applyProtection="1">
      <alignment horizontal="center" vertical="center"/>
      <protection/>
    </xf>
    <xf numFmtId="0" fontId="25" fillId="4" borderId="49" xfId="57" applyFont="1" applyFill="1" applyBorder="1" applyAlignment="1" applyProtection="1">
      <alignment horizontal="center" vertical="center"/>
      <protection/>
    </xf>
    <xf numFmtId="0" fontId="25" fillId="2" borderId="48" xfId="57" applyFont="1" applyFill="1" applyBorder="1" applyAlignment="1" applyProtection="1">
      <alignment horizontal="center" vertical="center"/>
      <protection/>
    </xf>
    <xf numFmtId="0" fontId="25" fillId="2" borderId="42" xfId="57" applyFont="1" applyFill="1" applyBorder="1" applyAlignment="1" applyProtection="1">
      <alignment horizontal="center" vertical="center"/>
      <protection/>
    </xf>
    <xf numFmtId="0" fontId="25" fillId="2" borderId="49" xfId="57" applyFont="1" applyFill="1" applyBorder="1" applyAlignment="1" applyProtection="1">
      <alignment horizontal="center" vertical="center"/>
      <protection/>
    </xf>
    <xf numFmtId="0" fontId="25" fillId="20" borderId="44" xfId="57" applyFont="1" applyFill="1" applyBorder="1" applyAlignment="1" applyProtection="1">
      <alignment horizontal="right" vertical="center" wrapText="1"/>
      <protection/>
    </xf>
    <xf numFmtId="0" fontId="25" fillId="20" borderId="45" xfId="57" applyFont="1" applyFill="1" applyBorder="1" applyAlignment="1" applyProtection="1">
      <alignment horizontal="right" vertical="center" wrapText="1"/>
      <protection/>
    </xf>
    <xf numFmtId="0" fontId="25" fillId="20" borderId="50" xfId="57" applyFont="1" applyFill="1" applyBorder="1" applyAlignment="1" applyProtection="1">
      <alignment horizontal="right" vertical="center" wrapText="1"/>
      <protection/>
    </xf>
    <xf numFmtId="0" fontId="25" fillId="20" borderId="13" xfId="57" applyFont="1" applyFill="1" applyBorder="1" applyAlignment="1" applyProtection="1">
      <alignment horizontal="right" vertical="center" wrapText="1"/>
      <protection/>
    </xf>
    <xf numFmtId="0" fontId="25" fillId="20" borderId="46" xfId="57" applyFont="1" applyFill="1" applyBorder="1" applyAlignment="1" applyProtection="1">
      <alignment horizontal="right" vertical="center" wrapText="1"/>
      <protection/>
    </xf>
    <xf numFmtId="0" fontId="25" fillId="20" borderId="47" xfId="57" applyFont="1" applyFill="1" applyBorder="1" applyAlignment="1" applyProtection="1">
      <alignment horizontal="righ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ew and existing HPSB worksheet 1800" xfId="57"/>
    <cellStyle name="Note" xfId="58"/>
    <cellStyle name="Output" xfId="59"/>
    <cellStyle name="Percent" xfId="60"/>
    <cellStyle name="Title" xfId="61"/>
    <cellStyle name="Total" xfId="62"/>
    <cellStyle name="Warning Text" xfId="63"/>
  </cellStyles>
  <dxfs count="15">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patternType="solid">
          <bgColor indexed="31"/>
        </patternFill>
      </fill>
    </dxf>
    <dxf>
      <fill>
        <patternFill patternType="solid">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89C4FF"/>
      <rgbColor rgb="00CCCCFF"/>
      <rgbColor rgb="00000080"/>
      <rgbColor rgb="00FF00FF"/>
      <rgbColor rgb="00FFFF00"/>
      <rgbColor rgb="0000FFFF"/>
      <rgbColor rgb="00800080"/>
      <rgbColor rgb="00800000"/>
      <rgbColor rgb="00008080"/>
      <rgbColor rgb="000000FF"/>
      <rgbColor rgb="0000CCFF"/>
      <rgbColor rgb="00CCFFFF"/>
      <rgbColor rgb="00E2FFC5"/>
      <rgbColor rgb="00FFFF99"/>
      <rgbColor rgb="0099CCFF"/>
      <rgbColor rgb="00FFCCFF"/>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R60"/>
  <sheetViews>
    <sheetView zoomScalePageLayoutView="0" workbookViewId="0" topLeftCell="A1">
      <selection activeCell="L23" sqref="L23:L24"/>
    </sheetView>
  </sheetViews>
  <sheetFormatPr defaultColWidth="9.140625" defaultRowHeight="12.75"/>
  <cols>
    <col min="1" max="1" width="7.8515625" style="177" customWidth="1"/>
    <col min="2" max="12" width="12.7109375" style="177" customWidth="1"/>
    <col min="13" max="13" width="19.7109375" style="177" customWidth="1"/>
    <col min="14" max="18" width="12.7109375" style="177" customWidth="1"/>
    <col min="19" max="16384" width="9.140625" style="177" customWidth="1"/>
  </cols>
  <sheetData>
    <row r="1" ht="12.75"/>
    <row r="2" spans="1:16" s="173" customFormat="1" ht="12.75">
      <c r="A2" s="171"/>
      <c r="B2" s="172" t="s">
        <v>189</v>
      </c>
      <c r="C2" s="172" t="s">
        <v>190</v>
      </c>
      <c r="D2" s="172" t="s">
        <v>191</v>
      </c>
      <c r="E2" s="172" t="s">
        <v>192</v>
      </c>
      <c r="F2" s="172" t="s">
        <v>193</v>
      </c>
      <c r="H2" s="497" t="s">
        <v>242</v>
      </c>
      <c r="I2" s="498"/>
      <c r="J2" s="174" t="s">
        <v>244</v>
      </c>
      <c r="K2" s="174" t="s">
        <v>312</v>
      </c>
      <c r="M2" s="354"/>
      <c r="N2" s="355" t="s">
        <v>574</v>
      </c>
      <c r="O2" s="355" t="s">
        <v>575</v>
      </c>
      <c r="P2" s="356" t="s">
        <v>575</v>
      </c>
    </row>
    <row r="3" spans="1:16" ht="12.75">
      <c r="A3" s="175">
        <v>2003</v>
      </c>
      <c r="B3" s="176"/>
      <c r="C3" s="176"/>
      <c r="D3" s="176"/>
      <c r="E3" s="176"/>
      <c r="F3" s="176"/>
      <c r="H3" s="359" t="s">
        <v>236</v>
      </c>
      <c r="I3" s="180" t="s">
        <v>239</v>
      </c>
      <c r="J3" s="180" t="s">
        <v>245</v>
      </c>
      <c r="K3" s="360" t="s">
        <v>313</v>
      </c>
      <c r="M3" s="369" t="s">
        <v>243</v>
      </c>
      <c r="N3" s="453">
        <v>2009</v>
      </c>
      <c r="O3" s="453"/>
      <c r="P3" s="453"/>
    </row>
    <row r="4" spans="1:16" ht="12.75">
      <c r="A4" s="175">
        <f>A3+1</f>
        <v>2004</v>
      </c>
      <c r="B4" s="176"/>
      <c r="C4" s="176"/>
      <c r="D4" s="176"/>
      <c r="E4" s="176"/>
      <c r="F4" s="176"/>
      <c r="H4" s="359" t="s">
        <v>237</v>
      </c>
      <c r="I4" s="180" t="s">
        <v>240</v>
      </c>
      <c r="J4" s="180" t="s">
        <v>245</v>
      </c>
      <c r="K4" s="361" t="s">
        <v>315</v>
      </c>
      <c r="M4" s="178" t="s">
        <v>364</v>
      </c>
      <c r="N4" s="454" t="s">
        <v>149</v>
      </c>
      <c r="O4" s="454"/>
      <c r="P4" s="454"/>
    </row>
    <row r="5" spans="1:16" ht="12.75">
      <c r="A5" s="175">
        <f aca="true" t="shared" si="0" ref="A5:A15">A4+1</f>
        <v>2005</v>
      </c>
      <c r="B5" s="179">
        <f aca="true" t="shared" si="1" ref="B5:B13">B6+0.03</f>
        <v>-2.7755575615628914E-17</v>
      </c>
      <c r="C5" s="179"/>
      <c r="D5" s="176"/>
      <c r="E5" s="179">
        <v>0</v>
      </c>
      <c r="F5" s="179">
        <v>0</v>
      </c>
      <c r="H5" s="362" t="s">
        <v>238</v>
      </c>
      <c r="I5" s="363" t="s">
        <v>241</v>
      </c>
      <c r="J5" s="363" t="s">
        <v>245</v>
      </c>
      <c r="K5" s="364" t="s">
        <v>313</v>
      </c>
      <c r="M5" s="178" t="s">
        <v>279</v>
      </c>
      <c r="N5" s="454" t="s">
        <v>593</v>
      </c>
      <c r="O5" s="454"/>
      <c r="P5" s="454"/>
    </row>
    <row r="6" spans="1:16" ht="12.75">
      <c r="A6" s="175">
        <f t="shared" si="0"/>
        <v>2006</v>
      </c>
      <c r="B6" s="179">
        <f t="shared" si="1"/>
        <v>-0.030000000000000027</v>
      </c>
      <c r="C6" s="179"/>
      <c r="D6" s="176"/>
      <c r="E6" s="179">
        <f>E5-0.02</f>
        <v>-0.02</v>
      </c>
      <c r="F6" s="179">
        <f>F5+0.1</f>
        <v>0.1</v>
      </c>
      <c r="H6" s="357" t="s">
        <v>451</v>
      </c>
      <c r="I6" s="358"/>
      <c r="J6" s="261" t="s">
        <v>448</v>
      </c>
      <c r="K6" s="260"/>
      <c r="M6" s="178" t="s">
        <v>365</v>
      </c>
      <c r="N6" s="454" t="s">
        <v>594</v>
      </c>
      <c r="O6" s="454"/>
      <c r="P6" s="454"/>
    </row>
    <row r="7" spans="1:16" ht="12.75">
      <c r="A7" s="175">
        <f t="shared" si="0"/>
        <v>2007</v>
      </c>
      <c r="B7" s="179">
        <f t="shared" si="1"/>
        <v>-0.060000000000000026</v>
      </c>
      <c r="C7" s="179">
        <f aca="true" t="shared" si="2" ref="C7:C13">C8+0.02</f>
        <v>0</v>
      </c>
      <c r="D7" s="179">
        <v>0.03</v>
      </c>
      <c r="E7" s="179">
        <f aca="true" t="shared" si="3" ref="E7:E15">E6-0.02</f>
        <v>-0.04</v>
      </c>
      <c r="F7" s="179">
        <f aca="true" t="shared" si="4" ref="F7:F15">F6+0.1</f>
        <v>0.2</v>
      </c>
      <c r="H7" s="365">
        <f>-B9</f>
        <v>0.12000000000000002</v>
      </c>
      <c r="I7" s="366">
        <f>H7</f>
        <v>0.12000000000000002</v>
      </c>
      <c r="J7" s="359" t="s">
        <v>446</v>
      </c>
      <c r="K7" s="452">
        <v>26.374</v>
      </c>
      <c r="M7" s="178" t="s">
        <v>166</v>
      </c>
      <c r="N7" s="454" t="s">
        <v>593</v>
      </c>
      <c r="O7" s="454"/>
      <c r="P7" s="454"/>
    </row>
    <row r="8" spans="1:16" ht="12.75">
      <c r="A8" s="175">
        <f t="shared" si="0"/>
        <v>2008</v>
      </c>
      <c r="B8" s="179">
        <f t="shared" si="1"/>
        <v>-0.09000000000000002</v>
      </c>
      <c r="C8" s="179">
        <f t="shared" si="2"/>
        <v>-0.019999999999999993</v>
      </c>
      <c r="D8" s="179">
        <v>0.03</v>
      </c>
      <c r="E8" s="179">
        <f t="shared" si="3"/>
        <v>-0.06</v>
      </c>
      <c r="F8" s="179">
        <f t="shared" si="4"/>
        <v>0.30000000000000004</v>
      </c>
      <c r="H8" s="365">
        <v>0.054</v>
      </c>
      <c r="I8" s="366">
        <v>0.072</v>
      </c>
      <c r="J8" s="359" t="s">
        <v>445</v>
      </c>
      <c r="K8" s="452">
        <v>27.044</v>
      </c>
      <c r="M8" s="178" t="s">
        <v>366</v>
      </c>
      <c r="N8" s="454" t="s">
        <v>594</v>
      </c>
      <c r="O8" s="454"/>
      <c r="P8" s="454"/>
    </row>
    <row r="9" spans="1:16" ht="12.75">
      <c r="A9" s="175">
        <f t="shared" si="0"/>
        <v>2009</v>
      </c>
      <c r="B9" s="179">
        <f t="shared" si="1"/>
        <v>-0.12000000000000002</v>
      </c>
      <c r="C9" s="179">
        <f t="shared" si="2"/>
        <v>-0.039999999999999994</v>
      </c>
      <c r="D9" s="179">
        <v>0.03</v>
      </c>
      <c r="E9" s="179">
        <f t="shared" si="3"/>
        <v>-0.08</v>
      </c>
      <c r="F9" s="179">
        <f t="shared" si="4"/>
        <v>0.4</v>
      </c>
      <c r="H9" s="365">
        <f>(H7-H8)/H7</f>
        <v>0.5500000000000002</v>
      </c>
      <c r="I9" s="366">
        <f>(I7-I8)/I7</f>
        <v>0.4000000000000002</v>
      </c>
      <c r="J9" s="359" t="s">
        <v>447</v>
      </c>
      <c r="K9" s="452">
        <v>24.18</v>
      </c>
      <c r="M9" s="178" t="s">
        <v>280</v>
      </c>
      <c r="N9" s="454"/>
      <c r="O9" s="454"/>
      <c r="P9" s="454"/>
    </row>
    <row r="10" spans="1:16" ht="12.75">
      <c r="A10" s="175">
        <f t="shared" si="0"/>
        <v>2010</v>
      </c>
      <c r="B10" s="179">
        <f t="shared" si="1"/>
        <v>-0.15000000000000002</v>
      </c>
      <c r="C10" s="179">
        <f t="shared" si="2"/>
        <v>-0.06</v>
      </c>
      <c r="D10" s="179">
        <v>0.05</v>
      </c>
      <c r="E10" s="179">
        <f t="shared" si="3"/>
        <v>-0.1</v>
      </c>
      <c r="F10" s="179">
        <f t="shared" si="4"/>
        <v>0.5</v>
      </c>
      <c r="H10" s="367">
        <f>1-H9</f>
        <v>0.44999999999999984</v>
      </c>
      <c r="I10" s="368">
        <f>1-I9</f>
        <v>0.5999999999999999</v>
      </c>
      <c r="J10" s="362" t="s">
        <v>557</v>
      </c>
      <c r="K10" s="451"/>
      <c r="M10" s="178" t="s">
        <v>281</v>
      </c>
      <c r="N10" s="454"/>
      <c r="O10" s="454"/>
      <c r="P10" s="454"/>
    </row>
    <row r="11" spans="1:16" ht="12.75">
      <c r="A11" s="175">
        <f t="shared" si="0"/>
        <v>2011</v>
      </c>
      <c r="B11" s="179">
        <f t="shared" si="1"/>
        <v>-0.18000000000000002</v>
      </c>
      <c r="C11" s="179">
        <f t="shared" si="2"/>
        <v>-0.08</v>
      </c>
      <c r="D11" s="179">
        <v>0.05</v>
      </c>
      <c r="E11" s="179">
        <f t="shared" si="3"/>
        <v>-0.12000000000000001</v>
      </c>
      <c r="F11" s="179">
        <f t="shared" si="4"/>
        <v>0.6</v>
      </c>
      <c r="H11" s="261" t="s">
        <v>591</v>
      </c>
      <c r="I11" s="260"/>
      <c r="J11" s="261" t="s">
        <v>586</v>
      </c>
      <c r="K11" s="260"/>
      <c r="M11" s="178" t="s">
        <v>282</v>
      </c>
      <c r="N11" s="454"/>
      <c r="O11" s="454"/>
      <c r="P11" s="454"/>
    </row>
    <row r="12" spans="1:16" ht="12.75">
      <c r="A12" s="175">
        <f t="shared" si="0"/>
        <v>2012</v>
      </c>
      <c r="B12" s="179">
        <f t="shared" si="1"/>
        <v>-0.21000000000000002</v>
      </c>
      <c r="C12" s="179">
        <f t="shared" si="2"/>
        <v>-0.1</v>
      </c>
      <c r="D12" s="179">
        <v>0.05</v>
      </c>
      <c r="E12" s="179">
        <f t="shared" si="3"/>
        <v>-0.14</v>
      </c>
      <c r="F12" s="179">
        <f t="shared" si="4"/>
        <v>0.7</v>
      </c>
      <c r="H12" s="362" t="s">
        <v>592</v>
      </c>
      <c r="I12" s="451">
        <v>26.374</v>
      </c>
      <c r="J12" s="359" t="s">
        <v>582</v>
      </c>
      <c r="K12" s="452">
        <v>3127.874</v>
      </c>
      <c r="M12" s="178" t="s">
        <v>283</v>
      </c>
      <c r="N12" s="454"/>
      <c r="O12" s="454"/>
      <c r="P12" s="454"/>
    </row>
    <row r="13" spans="1:16" ht="12.75">
      <c r="A13" s="175">
        <f t="shared" si="0"/>
        <v>2013</v>
      </c>
      <c r="B13" s="179">
        <f t="shared" si="1"/>
        <v>-0.24000000000000002</v>
      </c>
      <c r="C13" s="179">
        <f t="shared" si="2"/>
        <v>-0.12000000000000001</v>
      </c>
      <c r="D13" s="179">
        <v>0.075</v>
      </c>
      <c r="E13" s="179">
        <f t="shared" si="3"/>
        <v>-0.16</v>
      </c>
      <c r="F13" s="179">
        <f t="shared" si="4"/>
        <v>0.7999999999999999</v>
      </c>
      <c r="H13" s="445"/>
      <c r="I13" s="446"/>
      <c r="J13" s="359" t="s">
        <v>584</v>
      </c>
      <c r="K13" s="452">
        <v>813.841</v>
      </c>
      <c r="M13" s="178" t="s">
        <v>369</v>
      </c>
      <c r="N13" s="454" t="s">
        <v>595</v>
      </c>
      <c r="O13" s="454" t="s">
        <v>598</v>
      </c>
      <c r="P13" s="454" t="s">
        <v>601</v>
      </c>
    </row>
    <row r="14" spans="1:16" ht="12.75">
      <c r="A14" s="175">
        <f t="shared" si="0"/>
        <v>2014</v>
      </c>
      <c r="B14" s="179">
        <f>B15+0.03</f>
        <v>-0.27</v>
      </c>
      <c r="C14" s="179">
        <f>C15+0.02</f>
        <v>-0.14</v>
      </c>
      <c r="D14" s="179">
        <v>0.075</v>
      </c>
      <c r="E14" s="179">
        <f t="shared" si="3"/>
        <v>-0.18</v>
      </c>
      <c r="F14" s="179">
        <f t="shared" si="4"/>
        <v>0.8999999999999999</v>
      </c>
      <c r="H14" s="445"/>
      <c r="I14" s="446"/>
      <c r="J14" s="359" t="s">
        <v>583</v>
      </c>
      <c r="K14" s="452">
        <v>0</v>
      </c>
      <c r="M14" s="178" t="s">
        <v>367</v>
      </c>
      <c r="N14" s="454" t="s">
        <v>596</v>
      </c>
      <c r="O14" s="454" t="s">
        <v>599</v>
      </c>
      <c r="P14" s="454" t="s">
        <v>602</v>
      </c>
    </row>
    <row r="15" spans="1:16" ht="12.75">
      <c r="A15" s="175">
        <f t="shared" si="0"/>
        <v>2015</v>
      </c>
      <c r="B15" s="179">
        <v>-0.3</v>
      </c>
      <c r="C15" s="179">
        <v>-0.16</v>
      </c>
      <c r="D15" s="179">
        <v>0.075</v>
      </c>
      <c r="E15" s="179">
        <f t="shared" si="3"/>
        <v>-0.19999999999999998</v>
      </c>
      <c r="F15" s="179">
        <f t="shared" si="4"/>
        <v>0.9999999999999999</v>
      </c>
      <c r="H15" s="445"/>
      <c r="I15" s="446"/>
      <c r="J15" s="362" t="s">
        <v>585</v>
      </c>
      <c r="K15" s="451">
        <v>0</v>
      </c>
      <c r="M15" s="370" t="s">
        <v>368</v>
      </c>
      <c r="N15" s="456" t="s">
        <v>597</v>
      </c>
      <c r="O15" s="455" t="s">
        <v>600</v>
      </c>
      <c r="P15" s="455" t="s">
        <v>603</v>
      </c>
    </row>
    <row r="16" spans="1:4" ht="12.75">
      <c r="A16" s="180"/>
      <c r="B16" s="180"/>
      <c r="C16" s="180"/>
      <c r="D16" s="180"/>
    </row>
    <row r="17" spans="1:18" s="173" customFormat="1" ht="12.75">
      <c r="A17" s="172" t="s">
        <v>194</v>
      </c>
      <c r="B17" s="499" t="s">
        <v>217</v>
      </c>
      <c r="C17" s="499"/>
      <c r="D17" s="499"/>
      <c r="E17" s="172" t="s">
        <v>277</v>
      </c>
      <c r="F17" s="172" t="s">
        <v>303</v>
      </c>
      <c r="G17" s="172" t="s">
        <v>227</v>
      </c>
      <c r="H17" s="71" t="s">
        <v>380</v>
      </c>
      <c r="I17" s="71" t="s">
        <v>375</v>
      </c>
      <c r="J17" s="71" t="s">
        <v>383</v>
      </c>
      <c r="K17" s="71" t="s">
        <v>374</v>
      </c>
      <c r="L17" s="172" t="s">
        <v>404</v>
      </c>
      <c r="M17" s="172" t="s">
        <v>420</v>
      </c>
      <c r="N17" s="71" t="s">
        <v>396</v>
      </c>
      <c r="O17" s="71" t="s">
        <v>400</v>
      </c>
      <c r="P17" s="71" t="s">
        <v>402</v>
      </c>
      <c r="Q17" s="71" t="s">
        <v>475</v>
      </c>
      <c r="R17" s="71" t="s">
        <v>564</v>
      </c>
    </row>
    <row r="18" spans="1:18" ht="12.75">
      <c r="A18" s="333" t="s">
        <v>546</v>
      </c>
      <c r="B18" s="333"/>
      <c r="C18" s="333"/>
      <c r="D18" s="333"/>
      <c r="E18" s="333" t="s">
        <v>546</v>
      </c>
      <c r="F18" s="334"/>
      <c r="G18" s="333" t="s">
        <v>546</v>
      </c>
      <c r="H18" s="181"/>
      <c r="I18" s="333" t="s">
        <v>546</v>
      </c>
      <c r="J18" s="333" t="s">
        <v>546</v>
      </c>
      <c r="K18" s="333" t="s">
        <v>546</v>
      </c>
      <c r="L18" s="333" t="s">
        <v>546</v>
      </c>
      <c r="M18" s="333" t="s">
        <v>546</v>
      </c>
      <c r="N18" s="181" t="s">
        <v>546</v>
      </c>
      <c r="O18" s="181" t="s">
        <v>546</v>
      </c>
      <c r="P18" s="181" t="s">
        <v>546</v>
      </c>
      <c r="Q18" s="181" t="s">
        <v>546</v>
      </c>
      <c r="R18" s="181" t="s">
        <v>546</v>
      </c>
    </row>
    <row r="19" spans="1:18" ht="12.75">
      <c r="A19" s="334" t="s">
        <v>196</v>
      </c>
      <c r="B19" s="336" t="s">
        <v>212</v>
      </c>
      <c r="C19" s="334" t="s">
        <v>211</v>
      </c>
      <c r="D19" s="336" t="s">
        <v>212</v>
      </c>
      <c r="E19" s="334" t="s">
        <v>299</v>
      </c>
      <c r="F19" s="334" t="s">
        <v>90</v>
      </c>
      <c r="G19" s="337" t="s">
        <v>415</v>
      </c>
      <c r="H19" s="181" t="s">
        <v>431</v>
      </c>
      <c r="I19" s="335" t="s">
        <v>156</v>
      </c>
      <c r="J19" s="181" t="s">
        <v>384</v>
      </c>
      <c r="K19" s="335" t="s">
        <v>371</v>
      </c>
      <c r="L19" s="337" t="s">
        <v>415</v>
      </c>
      <c r="M19" s="334" t="s">
        <v>418</v>
      </c>
      <c r="N19" s="181" t="s">
        <v>397</v>
      </c>
      <c r="O19" s="335" t="s">
        <v>398</v>
      </c>
      <c r="P19" s="182">
        <v>2.2</v>
      </c>
      <c r="Q19" s="182" t="s">
        <v>534</v>
      </c>
      <c r="R19" s="182" t="s">
        <v>565</v>
      </c>
    </row>
    <row r="20" spans="1:18" ht="12.75">
      <c r="A20" s="334" t="s">
        <v>195</v>
      </c>
      <c r="B20" s="338" t="s">
        <v>207</v>
      </c>
      <c r="C20" s="334" t="s">
        <v>206</v>
      </c>
      <c r="D20" s="338" t="s">
        <v>249</v>
      </c>
      <c r="E20" s="334" t="s">
        <v>413</v>
      </c>
      <c r="F20" s="334" t="s">
        <v>91</v>
      </c>
      <c r="G20" s="337" t="s">
        <v>298</v>
      </c>
      <c r="H20" s="335" t="s">
        <v>432</v>
      </c>
      <c r="I20" s="335" t="s">
        <v>125</v>
      </c>
      <c r="J20" s="335" t="s">
        <v>386</v>
      </c>
      <c r="K20" s="335" t="s">
        <v>370</v>
      </c>
      <c r="L20" s="337" t="s">
        <v>298</v>
      </c>
      <c r="M20" s="334" t="s">
        <v>419</v>
      </c>
      <c r="N20" s="335" t="s">
        <v>535</v>
      </c>
      <c r="O20" s="335" t="s">
        <v>399</v>
      </c>
      <c r="P20" s="182">
        <v>3</v>
      </c>
      <c r="Q20" s="182" t="s">
        <v>536</v>
      </c>
      <c r="R20" s="182" t="s">
        <v>566</v>
      </c>
    </row>
    <row r="21" spans="1:18" ht="12.75">
      <c r="A21" s="334"/>
      <c r="B21" s="339" t="s">
        <v>214</v>
      </c>
      <c r="C21" s="334" t="s">
        <v>213</v>
      </c>
      <c r="D21" s="339" t="s">
        <v>234</v>
      </c>
      <c r="E21" s="334" t="s">
        <v>560</v>
      </c>
      <c r="F21" s="181" t="s">
        <v>212</v>
      </c>
      <c r="G21" s="334" t="s">
        <v>285</v>
      </c>
      <c r="H21" s="335" t="s">
        <v>304</v>
      </c>
      <c r="I21" s="335" t="s">
        <v>437</v>
      </c>
      <c r="J21" s="335" t="s">
        <v>440</v>
      </c>
      <c r="K21" s="335" t="s">
        <v>156</v>
      </c>
      <c r="L21" s="334" t="s">
        <v>224</v>
      </c>
      <c r="M21" s="334" t="s">
        <v>416</v>
      </c>
      <c r="N21" s="335"/>
      <c r="O21" s="335"/>
      <c r="P21" s="335"/>
      <c r="Q21" s="182" t="s">
        <v>537</v>
      </c>
      <c r="R21" s="182" t="s">
        <v>567</v>
      </c>
    </row>
    <row r="22" spans="1:18" ht="12.75">
      <c r="A22" s="334"/>
      <c r="B22" s="339" t="s">
        <v>270</v>
      </c>
      <c r="C22" s="334" t="s">
        <v>215</v>
      </c>
      <c r="D22" s="339" t="s">
        <v>234</v>
      </c>
      <c r="E22" s="334" t="s">
        <v>305</v>
      </c>
      <c r="F22" s="334" t="s">
        <v>92</v>
      </c>
      <c r="G22" s="337" t="s">
        <v>287</v>
      </c>
      <c r="H22" s="335" t="s">
        <v>376</v>
      </c>
      <c r="I22" s="335" t="s">
        <v>126</v>
      </c>
      <c r="J22" s="335" t="s">
        <v>385</v>
      </c>
      <c r="K22" s="335" t="s">
        <v>441</v>
      </c>
      <c r="L22" s="337" t="s">
        <v>12</v>
      </c>
      <c r="M22" s="334" t="s">
        <v>417</v>
      </c>
      <c r="N22" s="335"/>
      <c r="O22" s="335"/>
      <c r="P22" s="335"/>
      <c r="Q22" s="335" t="s">
        <v>538</v>
      </c>
      <c r="R22" s="335" t="s">
        <v>568</v>
      </c>
    </row>
    <row r="23" spans="1:18" ht="12.75">
      <c r="A23" s="334"/>
      <c r="B23" s="340" t="s">
        <v>276</v>
      </c>
      <c r="C23" s="334"/>
      <c r="D23" s="340" t="s">
        <v>251</v>
      </c>
      <c r="E23" s="334" t="s">
        <v>284</v>
      </c>
      <c r="F23" s="334" t="s">
        <v>93</v>
      </c>
      <c r="G23" s="334" t="s">
        <v>224</v>
      </c>
      <c r="H23" s="335" t="s">
        <v>350</v>
      </c>
      <c r="I23" s="335" t="s">
        <v>127</v>
      </c>
      <c r="J23" s="335" t="s">
        <v>318</v>
      </c>
      <c r="K23" s="335" t="s">
        <v>126</v>
      </c>
      <c r="L23" s="337" t="s">
        <v>614</v>
      </c>
      <c r="M23" s="334"/>
      <c r="N23" s="335"/>
      <c r="O23" s="334"/>
      <c r="P23" s="335"/>
      <c r="Q23" s="335" t="s">
        <v>397</v>
      </c>
      <c r="R23" s="335" t="s">
        <v>569</v>
      </c>
    </row>
    <row r="24" spans="1:18" ht="12.75">
      <c r="A24" s="334"/>
      <c r="B24" s="340" t="s">
        <v>275</v>
      </c>
      <c r="C24" s="334"/>
      <c r="D24" s="340" t="s">
        <v>251</v>
      </c>
      <c r="E24" s="334"/>
      <c r="F24" s="334" t="s">
        <v>94</v>
      </c>
      <c r="G24" s="337" t="s">
        <v>12</v>
      </c>
      <c r="H24" s="335" t="s">
        <v>433</v>
      </c>
      <c r="I24" s="335" t="s">
        <v>438</v>
      </c>
      <c r="J24" s="335"/>
      <c r="K24" s="335" t="s">
        <v>372</v>
      </c>
      <c r="L24" s="337"/>
      <c r="M24" s="334"/>
      <c r="N24" s="335"/>
      <c r="O24" s="334"/>
      <c r="P24" s="335"/>
      <c r="Q24" s="335" t="s">
        <v>561</v>
      </c>
      <c r="R24" s="335" t="s">
        <v>570</v>
      </c>
    </row>
    <row r="25" spans="1:18" ht="12.75">
      <c r="A25" s="334"/>
      <c r="B25" s="334" t="s">
        <v>250</v>
      </c>
      <c r="C25" s="334"/>
      <c r="D25" s="334" t="s">
        <v>250</v>
      </c>
      <c r="E25" s="334"/>
      <c r="F25" s="334" t="s">
        <v>95</v>
      </c>
      <c r="G25" s="337" t="s">
        <v>223</v>
      </c>
      <c r="H25" s="335" t="s">
        <v>381</v>
      </c>
      <c r="I25" s="335" t="s">
        <v>155</v>
      </c>
      <c r="J25" s="335"/>
      <c r="K25" s="335" t="s">
        <v>155</v>
      </c>
      <c r="L25" s="337"/>
      <c r="M25" s="334"/>
      <c r="N25" s="335"/>
      <c r="O25" s="334"/>
      <c r="P25" s="335"/>
      <c r="Q25" s="335"/>
      <c r="R25" s="335" t="s">
        <v>571</v>
      </c>
    </row>
    <row r="26" spans="1:18" ht="12.75">
      <c r="A26" s="334"/>
      <c r="B26" s="339" t="s">
        <v>273</v>
      </c>
      <c r="C26" s="334"/>
      <c r="D26" s="339" t="s">
        <v>234</v>
      </c>
      <c r="E26" s="334"/>
      <c r="F26" s="181" t="s">
        <v>423</v>
      </c>
      <c r="G26" s="334" t="s">
        <v>286</v>
      </c>
      <c r="H26" s="334" t="s">
        <v>434</v>
      </c>
      <c r="I26" s="335" t="s">
        <v>121</v>
      </c>
      <c r="J26" s="335"/>
      <c r="K26" s="335" t="s">
        <v>121</v>
      </c>
      <c r="L26" s="337"/>
      <c r="M26" s="334"/>
      <c r="N26" s="335"/>
      <c r="O26" s="334"/>
      <c r="P26" s="335"/>
      <c r="Q26" s="335"/>
      <c r="R26" s="335"/>
    </row>
    <row r="27" spans="1:18" ht="12.75">
      <c r="A27" s="334"/>
      <c r="B27" s="340" t="s">
        <v>274</v>
      </c>
      <c r="C27" s="334"/>
      <c r="D27" s="340" t="s">
        <v>251</v>
      </c>
      <c r="E27" s="334"/>
      <c r="F27" s="181" t="s">
        <v>229</v>
      </c>
      <c r="G27" s="337" t="s">
        <v>614</v>
      </c>
      <c r="H27" s="335" t="s">
        <v>436</v>
      </c>
      <c r="I27" s="335" t="s">
        <v>439</v>
      </c>
      <c r="J27" s="335"/>
      <c r="K27" s="335" t="s">
        <v>318</v>
      </c>
      <c r="L27" s="334"/>
      <c r="M27" s="334"/>
      <c r="N27" s="335"/>
      <c r="O27" s="334"/>
      <c r="P27" s="335"/>
      <c r="Q27" s="335"/>
      <c r="R27" s="335"/>
    </row>
    <row r="28" spans="1:18" ht="12.75">
      <c r="A28" s="334"/>
      <c r="B28" s="337" t="s">
        <v>205</v>
      </c>
      <c r="C28" s="334"/>
      <c r="D28" s="334"/>
      <c r="E28" s="334"/>
      <c r="F28" s="337" t="s">
        <v>207</v>
      </c>
      <c r="G28" s="341"/>
      <c r="H28" s="334" t="s">
        <v>435</v>
      </c>
      <c r="I28" s="335" t="s">
        <v>373</v>
      </c>
      <c r="J28" s="335"/>
      <c r="K28" s="335"/>
      <c r="L28" s="337"/>
      <c r="M28" s="334"/>
      <c r="N28" s="335"/>
      <c r="O28" s="334"/>
      <c r="P28" s="335"/>
      <c r="Q28" s="335"/>
      <c r="R28" s="335"/>
    </row>
    <row r="29" spans="1:18" ht="12.75">
      <c r="A29" s="334"/>
      <c r="B29" s="339" t="s">
        <v>216</v>
      </c>
      <c r="C29" s="334"/>
      <c r="D29" s="339" t="s">
        <v>234</v>
      </c>
      <c r="E29" s="334"/>
      <c r="F29" s="334" t="s">
        <v>96</v>
      </c>
      <c r="G29" s="341"/>
      <c r="H29" s="335" t="s">
        <v>377</v>
      </c>
      <c r="I29" s="335" t="s">
        <v>318</v>
      </c>
      <c r="J29" s="335"/>
      <c r="K29" s="335"/>
      <c r="L29" s="334"/>
      <c r="M29" s="334"/>
      <c r="N29" s="335"/>
      <c r="O29" s="334"/>
      <c r="P29" s="335"/>
      <c r="Q29" s="335"/>
      <c r="R29" s="335"/>
    </row>
    <row r="30" spans="1:18" ht="12.75">
      <c r="A30" s="334"/>
      <c r="B30" s="340" t="s">
        <v>220</v>
      </c>
      <c r="C30" s="334"/>
      <c r="D30" s="340" t="s">
        <v>251</v>
      </c>
      <c r="E30" s="334"/>
      <c r="F30" s="334" t="s">
        <v>3</v>
      </c>
      <c r="G30" s="334"/>
      <c r="H30" s="335" t="s">
        <v>363</v>
      </c>
      <c r="I30" s="334"/>
      <c r="J30" s="334"/>
      <c r="K30" s="337"/>
      <c r="L30" s="334"/>
      <c r="M30" s="334"/>
      <c r="N30" s="334"/>
      <c r="O30" s="334"/>
      <c r="P30" s="334"/>
      <c r="Q30" s="334"/>
      <c r="R30" s="334"/>
    </row>
    <row r="31" spans="1:18" ht="12.75">
      <c r="A31" s="334"/>
      <c r="B31" s="338" t="s">
        <v>218</v>
      </c>
      <c r="C31" s="334"/>
      <c r="D31" s="338" t="s">
        <v>249</v>
      </c>
      <c r="E31" s="334"/>
      <c r="F31" s="337" t="s">
        <v>392</v>
      </c>
      <c r="G31" s="334"/>
      <c r="H31" s="335" t="s">
        <v>318</v>
      </c>
      <c r="I31" s="334"/>
      <c r="J31" s="334"/>
      <c r="K31" s="334"/>
      <c r="L31" s="334"/>
      <c r="M31" s="334"/>
      <c r="N31" s="334"/>
      <c r="O31" s="334"/>
      <c r="P31" s="334"/>
      <c r="Q31" s="334"/>
      <c r="R31" s="334"/>
    </row>
    <row r="32" spans="1:18" ht="12.75">
      <c r="A32" s="334"/>
      <c r="B32" s="339" t="s">
        <v>204</v>
      </c>
      <c r="C32" s="334"/>
      <c r="D32" s="339" t="s">
        <v>234</v>
      </c>
      <c r="E32" s="334"/>
      <c r="F32" s="181" t="s">
        <v>230</v>
      </c>
      <c r="G32" s="334"/>
      <c r="H32" s="334"/>
      <c r="I32" s="334"/>
      <c r="J32" s="334"/>
      <c r="K32" s="181"/>
      <c r="L32" s="334"/>
      <c r="M32" s="334"/>
      <c r="N32" s="334"/>
      <c r="O32" s="334"/>
      <c r="P32" s="334"/>
      <c r="Q32" s="334"/>
      <c r="R32" s="334"/>
    </row>
    <row r="33" spans="1:18" ht="12.75">
      <c r="A33" s="334"/>
      <c r="B33" s="342" t="s">
        <v>219</v>
      </c>
      <c r="C33" s="334"/>
      <c r="D33" s="342" t="s">
        <v>233</v>
      </c>
      <c r="E33" s="334"/>
      <c r="F33" s="334" t="s">
        <v>235</v>
      </c>
      <c r="G33" s="334"/>
      <c r="H33" s="334"/>
      <c r="I33" s="334"/>
      <c r="J33" s="334"/>
      <c r="K33" s="334"/>
      <c r="L33" s="334"/>
      <c r="M33" s="334"/>
      <c r="N33" s="334"/>
      <c r="O33" s="334"/>
      <c r="P33" s="334"/>
      <c r="Q33" s="334"/>
      <c r="R33" s="334"/>
    </row>
    <row r="34" spans="1:18" ht="12.75">
      <c r="A34" s="334"/>
      <c r="B34" s="338" t="s">
        <v>246</v>
      </c>
      <c r="C34" s="334" t="s">
        <v>200</v>
      </c>
      <c r="D34" s="338" t="s">
        <v>249</v>
      </c>
      <c r="E34" s="334"/>
      <c r="F34" s="181" t="s">
        <v>278</v>
      </c>
      <c r="G34" s="334"/>
      <c r="H34" s="334"/>
      <c r="I34" s="334"/>
      <c r="J34" s="334"/>
      <c r="K34" s="181"/>
      <c r="L34" s="334"/>
      <c r="M34" s="334"/>
      <c r="N34" s="334"/>
      <c r="O34" s="334"/>
      <c r="P34" s="334"/>
      <c r="Q34" s="334"/>
      <c r="R34" s="334"/>
    </row>
    <row r="35" spans="1:18" ht="12.75">
      <c r="A35" s="334"/>
      <c r="B35" s="338" t="s">
        <v>199</v>
      </c>
      <c r="C35" s="334" t="s">
        <v>203</v>
      </c>
      <c r="D35" s="338" t="s">
        <v>249</v>
      </c>
      <c r="E35" s="334"/>
      <c r="F35" s="334" t="s">
        <v>97</v>
      </c>
      <c r="G35" s="337"/>
      <c r="H35" s="334"/>
      <c r="I35" s="334"/>
      <c r="J35" s="334"/>
      <c r="K35" s="334"/>
      <c r="L35" s="334"/>
      <c r="M35" s="334"/>
      <c r="N35" s="334"/>
      <c r="O35" s="334"/>
      <c r="P35" s="334"/>
      <c r="Q35" s="334"/>
      <c r="R35" s="334"/>
    </row>
    <row r="36" spans="1:18" ht="12.75">
      <c r="A36" s="334"/>
      <c r="B36" s="338" t="s">
        <v>271</v>
      </c>
      <c r="C36" s="334" t="s">
        <v>272</v>
      </c>
      <c r="D36" s="338" t="s">
        <v>249</v>
      </c>
      <c r="E36" s="334"/>
      <c r="F36" s="334" t="s">
        <v>231</v>
      </c>
      <c r="G36" s="334"/>
      <c r="H36" s="334"/>
      <c r="I36" s="334"/>
      <c r="J36" s="334"/>
      <c r="K36" s="334"/>
      <c r="L36" s="334"/>
      <c r="M36" s="334"/>
      <c r="N36" s="334"/>
      <c r="O36" s="334"/>
      <c r="P36" s="334"/>
      <c r="Q36" s="334"/>
      <c r="R36" s="334"/>
    </row>
    <row r="37" spans="1:18" ht="12.75">
      <c r="A37" s="334"/>
      <c r="B37" s="338" t="s">
        <v>197</v>
      </c>
      <c r="C37" s="334" t="s">
        <v>201</v>
      </c>
      <c r="D37" s="338" t="s">
        <v>249</v>
      </c>
      <c r="E37" s="334"/>
      <c r="F37" s="334" t="s">
        <v>234</v>
      </c>
      <c r="G37" s="334"/>
      <c r="H37" s="334"/>
      <c r="I37" s="334"/>
      <c r="J37" s="334"/>
      <c r="K37" s="334"/>
      <c r="L37" s="334"/>
      <c r="M37" s="334"/>
      <c r="N37" s="334"/>
      <c r="O37" s="334"/>
      <c r="P37" s="334"/>
      <c r="Q37" s="334"/>
      <c r="R37" s="334"/>
    </row>
    <row r="38" spans="1:18" ht="12.75">
      <c r="A38" s="334"/>
      <c r="B38" s="338" t="s">
        <v>198</v>
      </c>
      <c r="C38" s="334" t="s">
        <v>202</v>
      </c>
      <c r="D38" s="338" t="s">
        <v>249</v>
      </c>
      <c r="E38" s="334"/>
      <c r="F38" s="181" t="s">
        <v>228</v>
      </c>
      <c r="G38" s="334"/>
      <c r="H38" s="334"/>
      <c r="I38" s="334"/>
      <c r="J38" s="334"/>
      <c r="K38" s="181"/>
      <c r="L38" s="334"/>
      <c r="M38" s="334"/>
      <c r="N38" s="334"/>
      <c r="O38" s="334"/>
      <c r="P38" s="334"/>
      <c r="Q38" s="334"/>
      <c r="R38" s="334"/>
    </row>
    <row r="39" spans="1:18" ht="13.5">
      <c r="A39" s="334"/>
      <c r="B39" s="342" t="s">
        <v>209</v>
      </c>
      <c r="C39" s="334" t="s">
        <v>208</v>
      </c>
      <c r="D39" s="342" t="s">
        <v>233</v>
      </c>
      <c r="E39" s="334"/>
      <c r="F39" s="181" t="s">
        <v>210</v>
      </c>
      <c r="G39" s="343" t="s">
        <v>288</v>
      </c>
      <c r="H39" s="334"/>
      <c r="I39" s="334"/>
      <c r="J39" s="334"/>
      <c r="K39" s="181"/>
      <c r="L39" s="337" t="s">
        <v>422</v>
      </c>
      <c r="M39" s="344"/>
      <c r="N39" s="334"/>
      <c r="O39" s="334"/>
      <c r="P39" s="334"/>
      <c r="Q39" s="334"/>
      <c r="R39" s="334"/>
    </row>
    <row r="40" spans="1:18" ht="12.75">
      <c r="A40" s="334"/>
      <c r="B40" s="334" t="s">
        <v>318</v>
      </c>
      <c r="C40" s="334"/>
      <c r="D40" s="334"/>
      <c r="E40" s="345" t="s">
        <v>306</v>
      </c>
      <c r="F40" s="181" t="s">
        <v>250</v>
      </c>
      <c r="G40" s="345" t="s">
        <v>292</v>
      </c>
      <c r="H40" s="334"/>
      <c r="I40" s="334"/>
      <c r="J40" s="334"/>
      <c r="K40" s="181"/>
      <c r="L40" s="344"/>
      <c r="M40" s="344"/>
      <c r="N40" s="334"/>
      <c r="O40" s="334"/>
      <c r="P40" s="334"/>
      <c r="Q40" s="334"/>
      <c r="R40" s="334"/>
    </row>
    <row r="41" spans="1:18" ht="12.75">
      <c r="A41" s="334"/>
      <c r="B41" s="334"/>
      <c r="C41" s="334"/>
      <c r="D41" s="334"/>
      <c r="E41" s="345" t="s">
        <v>307</v>
      </c>
      <c r="F41" s="337" t="s">
        <v>98</v>
      </c>
      <c r="G41" s="345" t="s">
        <v>297</v>
      </c>
      <c r="H41" s="334"/>
      <c r="I41" s="334"/>
      <c r="J41" s="334"/>
      <c r="K41" s="337"/>
      <c r="L41" s="334"/>
      <c r="M41" s="334"/>
      <c r="N41" s="334"/>
      <c r="O41" s="334"/>
      <c r="P41" s="334"/>
      <c r="Q41" s="334"/>
      <c r="R41" s="334"/>
    </row>
    <row r="42" spans="1:18" ht="12.75">
      <c r="A42" s="334"/>
      <c r="B42" s="334"/>
      <c r="C42" s="334"/>
      <c r="D42" s="334"/>
      <c r="E42" s="345" t="s">
        <v>308</v>
      </c>
      <c r="F42" s="337" t="s">
        <v>556</v>
      </c>
      <c r="G42" s="346" t="s">
        <v>291</v>
      </c>
      <c r="H42" s="334"/>
      <c r="I42" s="334"/>
      <c r="J42" s="334"/>
      <c r="K42" s="181"/>
      <c r="L42" s="334"/>
      <c r="M42" s="334"/>
      <c r="N42" s="334"/>
      <c r="O42" s="334"/>
      <c r="P42" s="334"/>
      <c r="Q42" s="334"/>
      <c r="R42" s="334"/>
    </row>
    <row r="43" spans="1:18" ht="12.75">
      <c r="A43" s="334"/>
      <c r="B43" s="334"/>
      <c r="C43" s="334"/>
      <c r="D43" s="334"/>
      <c r="E43" s="345" t="s">
        <v>309</v>
      </c>
      <c r="F43" s="181" t="s">
        <v>246</v>
      </c>
      <c r="G43" s="345" t="s">
        <v>224</v>
      </c>
      <c r="H43" s="334"/>
      <c r="I43" s="334"/>
      <c r="J43" s="334"/>
      <c r="K43" s="334"/>
      <c r="L43" s="334"/>
      <c r="M43" s="334"/>
      <c r="N43" s="334"/>
      <c r="O43" s="334"/>
      <c r="P43" s="334"/>
      <c r="Q43" s="334"/>
      <c r="R43" s="334"/>
    </row>
    <row r="44" spans="1:18" ht="12.75">
      <c r="A44" s="334"/>
      <c r="B44" s="334"/>
      <c r="C44" s="334"/>
      <c r="D44" s="334"/>
      <c r="E44" s="345" t="s">
        <v>310</v>
      </c>
      <c r="F44" s="334" t="s">
        <v>99</v>
      </c>
      <c r="G44" s="345" t="s">
        <v>290</v>
      </c>
      <c r="H44" s="334"/>
      <c r="I44" s="334"/>
      <c r="J44" s="334"/>
      <c r="K44" s="337"/>
      <c r="L44" s="334"/>
      <c r="M44" s="334"/>
      <c r="N44" s="334"/>
      <c r="O44" s="334"/>
      <c r="P44" s="334"/>
      <c r="Q44" s="334"/>
      <c r="R44" s="334"/>
    </row>
    <row r="45" spans="1:18" ht="12.75">
      <c r="A45" s="334"/>
      <c r="B45" s="334"/>
      <c r="C45" s="334"/>
      <c r="D45" s="334"/>
      <c r="E45" s="345" t="s">
        <v>414</v>
      </c>
      <c r="F45" s="337" t="s">
        <v>100</v>
      </c>
      <c r="G45" s="345" t="s">
        <v>289</v>
      </c>
      <c r="H45" s="334"/>
      <c r="I45" s="334"/>
      <c r="J45" s="334"/>
      <c r="K45" s="334"/>
      <c r="L45" s="334"/>
      <c r="M45" s="334"/>
      <c r="N45" s="334"/>
      <c r="O45" s="334"/>
      <c r="P45" s="334"/>
      <c r="Q45" s="334"/>
      <c r="R45" s="334"/>
    </row>
    <row r="46" spans="1:18" ht="12.75">
      <c r="A46" s="334"/>
      <c r="B46" s="334"/>
      <c r="C46" s="334"/>
      <c r="D46" s="334"/>
      <c r="E46" s="345"/>
      <c r="F46" s="334" t="s">
        <v>232</v>
      </c>
      <c r="G46" s="345" t="s">
        <v>293</v>
      </c>
      <c r="H46" s="334"/>
      <c r="I46" s="334"/>
      <c r="J46" s="334"/>
      <c r="K46" s="334"/>
      <c r="L46" s="334"/>
      <c r="M46" s="334"/>
      <c r="N46" s="334"/>
      <c r="O46" s="334"/>
      <c r="P46" s="334"/>
      <c r="Q46" s="334"/>
      <c r="R46" s="334"/>
    </row>
    <row r="47" spans="1:18" ht="12.75">
      <c r="A47" s="334"/>
      <c r="B47" s="334"/>
      <c r="C47" s="334"/>
      <c r="D47" s="334"/>
      <c r="E47" s="334"/>
      <c r="F47" s="334" t="s">
        <v>198</v>
      </c>
      <c r="G47" s="345" t="s">
        <v>225</v>
      </c>
      <c r="H47" s="334"/>
      <c r="I47" s="334"/>
      <c r="J47" s="334"/>
      <c r="K47" s="181"/>
      <c r="L47" s="334"/>
      <c r="M47" s="334"/>
      <c r="N47" s="334"/>
      <c r="O47" s="334"/>
      <c r="P47" s="334"/>
      <c r="Q47" s="334"/>
      <c r="R47" s="334"/>
    </row>
    <row r="48" spans="1:18" ht="12.75">
      <c r="A48" s="334"/>
      <c r="B48" s="334"/>
      <c r="C48" s="334"/>
      <c r="D48" s="334"/>
      <c r="E48" s="334"/>
      <c r="F48" s="181" t="s">
        <v>101</v>
      </c>
      <c r="G48" s="345" t="s">
        <v>295</v>
      </c>
      <c r="H48" s="334"/>
      <c r="I48" s="334"/>
      <c r="J48" s="334"/>
      <c r="K48" s="337"/>
      <c r="L48" s="334"/>
      <c r="M48" s="334"/>
      <c r="N48" s="334"/>
      <c r="O48" s="334"/>
      <c r="P48" s="334"/>
      <c r="Q48" s="334"/>
      <c r="R48" s="334"/>
    </row>
    <row r="49" spans="1:18" ht="12.75">
      <c r="A49" s="334"/>
      <c r="B49" s="334"/>
      <c r="C49" s="334"/>
      <c r="D49" s="334"/>
      <c r="E49" s="334"/>
      <c r="F49" s="337" t="s">
        <v>209</v>
      </c>
      <c r="G49" s="345" t="s">
        <v>294</v>
      </c>
      <c r="H49" s="334"/>
      <c r="I49" s="334"/>
      <c r="J49" s="334"/>
      <c r="K49" s="334"/>
      <c r="L49" s="334"/>
      <c r="M49" s="334"/>
      <c r="N49" s="334"/>
      <c r="O49" s="334"/>
      <c r="P49" s="334"/>
      <c r="Q49" s="334"/>
      <c r="R49" s="334"/>
    </row>
    <row r="50" spans="1:18" ht="12.75">
      <c r="A50" s="334"/>
      <c r="B50" s="334"/>
      <c r="C50" s="334"/>
      <c r="D50" s="334"/>
      <c r="E50" s="334"/>
      <c r="F50" s="334" t="s">
        <v>311</v>
      </c>
      <c r="G50" s="346" t="s">
        <v>222</v>
      </c>
      <c r="H50" s="334"/>
      <c r="I50" s="334"/>
      <c r="J50" s="334"/>
      <c r="K50" s="337"/>
      <c r="L50" s="334"/>
      <c r="M50" s="334"/>
      <c r="N50" s="334"/>
      <c r="O50" s="334"/>
      <c r="P50" s="334"/>
      <c r="Q50" s="334"/>
      <c r="R50" s="334"/>
    </row>
    <row r="51" spans="1:18" ht="12.75">
      <c r="A51" s="334"/>
      <c r="B51" s="334"/>
      <c r="C51" s="334"/>
      <c r="D51" s="334"/>
      <c r="E51" s="334"/>
      <c r="F51" s="337" t="s">
        <v>318</v>
      </c>
      <c r="G51" s="345" t="s">
        <v>226</v>
      </c>
      <c r="H51" s="334"/>
      <c r="I51" s="334"/>
      <c r="J51" s="334"/>
      <c r="K51" s="334"/>
      <c r="L51" s="334"/>
      <c r="M51" s="334"/>
      <c r="N51" s="334"/>
      <c r="O51" s="334"/>
      <c r="P51" s="334"/>
      <c r="Q51" s="334"/>
      <c r="R51" s="334"/>
    </row>
    <row r="52" spans="1:18" ht="12.75">
      <c r="A52" s="334"/>
      <c r="B52" s="334"/>
      <c r="C52" s="334"/>
      <c r="D52" s="334"/>
      <c r="E52" s="334"/>
      <c r="F52" s="337"/>
      <c r="G52" s="345"/>
      <c r="H52" s="334"/>
      <c r="I52" s="334"/>
      <c r="J52" s="334"/>
      <c r="K52" s="334"/>
      <c r="L52" s="334"/>
      <c r="M52" s="334"/>
      <c r="N52" s="334"/>
      <c r="O52" s="334"/>
      <c r="P52" s="334"/>
      <c r="Q52" s="334"/>
      <c r="R52" s="334"/>
    </row>
    <row r="53" spans="1:18" ht="13.5">
      <c r="A53" s="334"/>
      <c r="B53" s="334"/>
      <c r="C53" s="334"/>
      <c r="D53" s="334"/>
      <c r="E53" s="334"/>
      <c r="F53" s="183"/>
      <c r="G53" s="343" t="s">
        <v>296</v>
      </c>
      <c r="H53" s="334"/>
      <c r="I53" s="334"/>
      <c r="J53" s="334"/>
      <c r="K53" s="334"/>
      <c r="L53" s="334"/>
      <c r="M53" s="334"/>
      <c r="N53" s="334"/>
      <c r="O53" s="334"/>
      <c r="P53" s="334"/>
      <c r="Q53" s="334"/>
      <c r="R53" s="334"/>
    </row>
    <row r="54" spans="1:18" ht="12.75">
      <c r="A54" s="334"/>
      <c r="B54" s="334"/>
      <c r="C54" s="334"/>
      <c r="D54" s="334"/>
      <c r="E54" s="334"/>
      <c r="F54" s="347"/>
      <c r="G54" s="346" t="s">
        <v>285</v>
      </c>
      <c r="H54" s="334"/>
      <c r="I54" s="334"/>
      <c r="J54" s="334"/>
      <c r="K54" s="334"/>
      <c r="L54" s="334"/>
      <c r="M54" s="334"/>
      <c r="N54" s="334"/>
      <c r="O54" s="334"/>
      <c r="P54" s="334"/>
      <c r="Q54" s="334"/>
      <c r="R54" s="334"/>
    </row>
    <row r="55" spans="1:18" ht="12.75">
      <c r="A55" s="334"/>
      <c r="B55" s="334"/>
      <c r="C55" s="334"/>
      <c r="D55" s="334"/>
      <c r="E55" s="334"/>
      <c r="F55" s="347"/>
      <c r="G55" s="346" t="s">
        <v>223</v>
      </c>
      <c r="H55" s="334"/>
      <c r="I55" s="334"/>
      <c r="J55" s="334"/>
      <c r="K55" s="334"/>
      <c r="L55" s="334"/>
      <c r="M55" s="334"/>
      <c r="N55" s="334"/>
      <c r="O55" s="334"/>
      <c r="P55" s="334"/>
      <c r="Q55" s="334"/>
      <c r="R55" s="334"/>
    </row>
    <row r="56" spans="1:18" ht="12.75">
      <c r="A56" s="334"/>
      <c r="B56" s="334"/>
      <c r="C56" s="334"/>
      <c r="D56" s="334"/>
      <c r="E56" s="334"/>
      <c r="F56" s="347"/>
      <c r="G56" s="345" t="s">
        <v>286</v>
      </c>
      <c r="H56" s="334"/>
      <c r="I56" s="334"/>
      <c r="J56" s="334"/>
      <c r="K56" s="334"/>
      <c r="L56" s="334"/>
      <c r="M56" s="334"/>
      <c r="N56" s="334"/>
      <c r="O56" s="334"/>
      <c r="P56" s="334"/>
      <c r="Q56" s="334"/>
      <c r="R56" s="334"/>
    </row>
    <row r="57" spans="1:18" ht="12.75">
      <c r="A57" s="334"/>
      <c r="B57" s="334"/>
      <c r="C57" s="334"/>
      <c r="D57" s="334"/>
      <c r="E57" s="334"/>
      <c r="F57" s="347"/>
      <c r="G57" s="345" t="s">
        <v>287</v>
      </c>
      <c r="H57" s="334"/>
      <c r="I57" s="334"/>
      <c r="J57" s="334"/>
      <c r="K57" s="334"/>
      <c r="L57" s="334"/>
      <c r="M57" s="334"/>
      <c r="N57" s="334"/>
      <c r="O57" s="334"/>
      <c r="P57" s="334"/>
      <c r="Q57" s="334"/>
      <c r="R57" s="334"/>
    </row>
    <row r="58" spans="1:18" ht="12.75">
      <c r="A58" s="334"/>
      <c r="B58" s="334"/>
      <c r="C58" s="334"/>
      <c r="D58" s="334"/>
      <c r="E58" s="334"/>
      <c r="F58" s="337"/>
      <c r="G58" s="334"/>
      <c r="H58" s="334"/>
      <c r="I58" s="334"/>
      <c r="J58" s="334"/>
      <c r="K58" s="334"/>
      <c r="L58" s="334"/>
      <c r="M58" s="334"/>
      <c r="N58" s="334"/>
      <c r="O58" s="334"/>
      <c r="P58" s="334"/>
      <c r="Q58" s="334"/>
      <c r="R58" s="334"/>
    </row>
    <row r="59" spans="1:18" ht="12.75">
      <c r="A59" s="334"/>
      <c r="B59" s="334"/>
      <c r="C59" s="334"/>
      <c r="D59" s="334"/>
      <c r="E59" s="334"/>
      <c r="F59" s="181"/>
      <c r="G59" s="334"/>
      <c r="H59" s="334"/>
      <c r="I59" s="334"/>
      <c r="J59" s="334"/>
      <c r="K59" s="334"/>
      <c r="L59" s="334"/>
      <c r="M59" s="334"/>
      <c r="N59" s="334"/>
      <c r="O59" s="334"/>
      <c r="P59" s="334"/>
      <c r="Q59" s="334"/>
      <c r="R59" s="334"/>
    </row>
    <row r="60" spans="1:18" ht="12.75">
      <c r="A60" s="334"/>
      <c r="B60" s="334"/>
      <c r="C60" s="334"/>
      <c r="D60" s="334"/>
      <c r="E60" s="334"/>
      <c r="F60" s="337"/>
      <c r="G60" s="334"/>
      <c r="H60" s="334"/>
      <c r="I60" s="334"/>
      <c r="J60" s="334"/>
      <c r="K60" s="334"/>
      <c r="L60" s="334"/>
      <c r="M60" s="334"/>
      <c r="N60" s="334"/>
      <c r="O60" s="334"/>
      <c r="P60" s="334"/>
      <c r="Q60" s="334"/>
      <c r="R60" s="334"/>
    </row>
  </sheetData>
  <sheetProtection password="FAAF" sheet="1"/>
  <mergeCells count="2">
    <mergeCell ref="H2:I2"/>
    <mergeCell ref="B17:D17"/>
  </mergeCells>
  <printOptions horizontalCentered="1"/>
  <pageMargins left="0.75" right="0.5" top="0.5" bottom="0.5" header="0.5" footer="0.35"/>
  <pageSetup fitToHeight="1" fitToWidth="1" horizontalDpi="600" verticalDpi="600" orientation="landscape" scale="54" r:id="rId3"/>
  <headerFooter alignWithMargins="0">
    <oddFooter>&amp;L&amp;"Times New Roman,Regular"&amp;8&amp;F: &amp;A&amp;R&amp;"Times New Roman,Regular"&amp;8Page &amp;P of &amp;N</oddFoot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L198"/>
  <sheetViews>
    <sheetView zoomScalePageLayoutView="0" workbookViewId="0" topLeftCell="E1">
      <selection activeCell="E1" sqref="E1:L1"/>
    </sheetView>
  </sheetViews>
  <sheetFormatPr defaultColWidth="10.28125" defaultRowHeight="12.75"/>
  <cols>
    <col min="1" max="1" width="0" style="426" hidden="1" customWidth="1"/>
    <col min="2" max="2" width="10.00390625" style="438" hidden="1" customWidth="1"/>
    <col min="3" max="4" width="9.00390625" style="438" hidden="1" customWidth="1"/>
    <col min="5" max="5" width="35.8515625" style="426" bestFit="1" customWidth="1"/>
    <col min="6" max="6" width="30.28125" style="426" customWidth="1"/>
    <col min="7" max="7" width="22.421875" style="426" customWidth="1"/>
    <col min="8" max="8" width="16.00390625" style="426" customWidth="1"/>
    <col min="9" max="9" width="14.57421875" style="426" customWidth="1"/>
    <col min="10" max="11" width="17.7109375" style="426" customWidth="1"/>
    <col min="12" max="12" width="38.7109375" style="426" customWidth="1"/>
    <col min="13" max="16384" width="10.28125" style="426" customWidth="1"/>
  </cols>
  <sheetData>
    <row r="1" spans="1:12" s="424" customFormat="1" ht="18.75">
      <c r="A1" s="436"/>
      <c r="B1" s="438" t="s">
        <v>590</v>
      </c>
      <c r="C1" s="438" t="s">
        <v>189</v>
      </c>
      <c r="D1" s="438" t="s">
        <v>190</v>
      </c>
      <c r="E1" s="614" t="str">
        <f>Lists!N7</f>
        <v>Office of Legacy Management</v>
      </c>
      <c r="F1" s="614"/>
      <c r="G1" s="614"/>
      <c r="H1" s="614"/>
      <c r="I1" s="614"/>
      <c r="J1" s="614"/>
      <c r="K1" s="614"/>
      <c r="L1" s="614"/>
    </row>
    <row r="2" spans="1:12" s="424" customFormat="1" ht="18.75">
      <c r="A2" s="436"/>
      <c r="B2" s="438"/>
      <c r="C2" s="438" t="str">
        <f>IF(SUM(C3:C4)=0,"Defult","Optional")</f>
        <v>Defult</v>
      </c>
      <c r="D2" s="438" t="str">
        <f>IF(SUM(D3:D4)=0,"Defult","Optional")</f>
        <v>Defult</v>
      </c>
      <c r="E2" s="614" t="s">
        <v>466</v>
      </c>
      <c r="F2" s="614"/>
      <c r="G2" s="614"/>
      <c r="H2" s="614"/>
      <c r="I2" s="614"/>
      <c r="J2" s="614"/>
      <c r="K2" s="614"/>
      <c r="L2" s="614"/>
    </row>
    <row r="3" spans="1:12" s="425" customFormat="1" ht="15.75" customHeight="1">
      <c r="A3" s="439" t="s">
        <v>576</v>
      </c>
      <c r="B3" s="441">
        <f>SUMIF($G$6:$G$49,$A6,B$6:B$49)+SUMIF($G$6:$G$49,$A7,B$6:B$49)+SUMIF($G$6:$G$49,$A9,B$6:B$49)+SUMIF($G$6:$G$49,$A10,B$6:B$49)+SUMIF($G$6:$G$49,$A11,B$6:B$49)</f>
        <v>0</v>
      </c>
      <c r="C3" s="441">
        <f>SUMIF($G$6:$G$49,$A6,C$6:C$49)+SUMIF($G$6:$G$49,$A7,C$6:C$49)+SUMIF($G$6:$G$49,$A9,C$6:C$49)+SUMIF($G$6:$G$49,$A10,C$6:C$49)+SUMIF($G$6:$G$49,$A11,C$6:C$49)</f>
        <v>0</v>
      </c>
      <c r="D3" s="441">
        <f>SUMIF($G$6:$G$49,$A6,D$6:D$49)+SUMIF($G$6:$G$49,$A7,D$6:D$49)+SUMIF($G$6:$G$49,$A9,D$6:D$49)+SUMIF($G$6:$G$49,$A10,D$6:D$49)+SUMIF($G$6:$G$49,$A11,D$6:D$49)</f>
        <v>0</v>
      </c>
      <c r="E3" s="170"/>
      <c r="F3" s="170"/>
      <c r="G3" s="170"/>
      <c r="H3" s="170"/>
      <c r="I3" s="170"/>
      <c r="J3" s="170"/>
      <c r="K3" s="170"/>
      <c r="L3" s="170"/>
    </row>
    <row r="4" spans="1:12" s="168" customFormat="1" ht="15.75" customHeight="1" thickBot="1">
      <c r="A4" s="439" t="s">
        <v>577</v>
      </c>
      <c r="B4" s="442">
        <f>+SUMIF($G$6:$G$49,$A8,B$6:B$49)</f>
        <v>0</v>
      </c>
      <c r="C4" s="442">
        <f>+SUMIF($G$6:$G$49,$A8,C$6:C$49)</f>
        <v>0</v>
      </c>
      <c r="D4" s="442">
        <f>+SUMIF($G$6:$G$49,$A8,D$6:D$49)</f>
        <v>0</v>
      </c>
      <c r="E4" s="158"/>
      <c r="F4" s="158"/>
      <c r="G4" s="158"/>
      <c r="H4" s="158"/>
      <c r="I4" s="158"/>
      <c r="J4" s="158"/>
      <c r="K4" s="158"/>
      <c r="L4" s="158"/>
    </row>
    <row r="5" spans="2:12" s="427" customFormat="1" ht="49.5" customHeight="1" thickBot="1">
      <c r="B5" s="440" t="s">
        <v>587</v>
      </c>
      <c r="C5" s="440" t="s">
        <v>588</v>
      </c>
      <c r="D5" s="440" t="s">
        <v>589</v>
      </c>
      <c r="E5" s="159" t="s">
        <v>467</v>
      </c>
      <c r="F5" s="328" t="s">
        <v>468</v>
      </c>
      <c r="G5" s="328" t="s">
        <v>450</v>
      </c>
      <c r="H5" s="328" t="s">
        <v>543</v>
      </c>
      <c r="I5" s="160" t="s">
        <v>563</v>
      </c>
      <c r="J5" s="160" t="s">
        <v>469</v>
      </c>
      <c r="K5" s="160" t="s">
        <v>470</v>
      </c>
      <c r="L5" s="161" t="s">
        <v>471</v>
      </c>
    </row>
    <row r="6" spans="1:12" ht="15.75" customHeight="1">
      <c r="A6" s="436" t="s">
        <v>565</v>
      </c>
      <c r="B6" s="442">
        <f>IF($H6&lt;=2015,$I6,"")</f>
        <v>0</v>
      </c>
      <c r="C6" s="442">
        <f>IF($H6&lt;=2015,$J6,"")</f>
        <v>0</v>
      </c>
      <c r="D6" s="442">
        <f>IF($H6&lt;=2015,$K6,"")</f>
        <v>0</v>
      </c>
      <c r="E6" s="251"/>
      <c r="F6" s="329"/>
      <c r="G6" s="329"/>
      <c r="H6" s="331"/>
      <c r="I6" s="406"/>
      <c r="J6" s="407"/>
      <c r="K6" s="407"/>
      <c r="L6" s="253"/>
    </row>
    <row r="7" spans="1:12" ht="15.75" customHeight="1">
      <c r="A7" s="436" t="s">
        <v>566</v>
      </c>
      <c r="B7" s="442">
        <f aca="true" t="shared" si="0" ref="B7:B70">IF($H7&lt;=2015,$I7,"")</f>
        <v>0</v>
      </c>
      <c r="C7" s="442">
        <f aca="true" t="shared" si="1" ref="C7:C70">IF($H7&lt;=2015,$J7,"")</f>
        <v>0</v>
      </c>
      <c r="D7" s="442">
        <f aca="true" t="shared" si="2" ref="D7:D70">IF($H7&lt;=2015,$K7,"")</f>
        <v>0</v>
      </c>
      <c r="E7" s="251"/>
      <c r="F7" s="329"/>
      <c r="G7" s="329"/>
      <c r="H7" s="331"/>
      <c r="I7" s="406"/>
      <c r="J7" s="407"/>
      <c r="K7" s="407"/>
      <c r="L7" s="253"/>
    </row>
    <row r="8" spans="1:12" ht="15.75" customHeight="1">
      <c r="A8" s="436" t="s">
        <v>567</v>
      </c>
      <c r="B8" s="442">
        <f t="shared" si="0"/>
        <v>0</v>
      </c>
      <c r="C8" s="442">
        <f t="shared" si="1"/>
        <v>0</v>
      </c>
      <c r="D8" s="442">
        <f t="shared" si="2"/>
        <v>0</v>
      </c>
      <c r="E8" s="251"/>
      <c r="F8" s="329"/>
      <c r="G8" s="329"/>
      <c r="H8" s="331"/>
      <c r="I8" s="406"/>
      <c r="J8" s="407"/>
      <c r="K8" s="407"/>
      <c r="L8" s="253"/>
    </row>
    <row r="9" spans="1:12" ht="15.75" customHeight="1">
      <c r="A9" s="436" t="s">
        <v>568</v>
      </c>
      <c r="B9" s="442">
        <f t="shared" si="0"/>
        <v>0</v>
      </c>
      <c r="C9" s="442">
        <f t="shared" si="1"/>
        <v>0</v>
      </c>
      <c r="D9" s="442">
        <f t="shared" si="2"/>
        <v>0</v>
      </c>
      <c r="E9" s="251"/>
      <c r="F9" s="329"/>
      <c r="G9" s="329"/>
      <c r="H9" s="331"/>
      <c r="I9" s="406"/>
      <c r="J9" s="407"/>
      <c r="K9" s="407"/>
      <c r="L9" s="253"/>
    </row>
    <row r="10" spans="1:12" ht="15.75" customHeight="1">
      <c r="A10" s="436" t="s">
        <v>569</v>
      </c>
      <c r="B10" s="442">
        <f t="shared" si="0"/>
        <v>0</v>
      </c>
      <c r="C10" s="442">
        <f t="shared" si="1"/>
        <v>0</v>
      </c>
      <c r="D10" s="442">
        <f t="shared" si="2"/>
        <v>0</v>
      </c>
      <c r="E10" s="251"/>
      <c r="F10" s="329"/>
      <c r="G10" s="329"/>
      <c r="H10" s="331"/>
      <c r="I10" s="406"/>
      <c r="J10" s="407"/>
      <c r="K10" s="407"/>
      <c r="L10" s="253"/>
    </row>
    <row r="11" spans="1:12" ht="15.75" customHeight="1">
      <c r="A11" s="436" t="s">
        <v>570</v>
      </c>
      <c r="B11" s="442">
        <f t="shared" si="0"/>
        <v>0</v>
      </c>
      <c r="C11" s="442">
        <f t="shared" si="1"/>
        <v>0</v>
      </c>
      <c r="D11" s="442">
        <f t="shared" si="2"/>
        <v>0</v>
      </c>
      <c r="E11" s="251"/>
      <c r="F11" s="329"/>
      <c r="G11" s="329"/>
      <c r="H11" s="331"/>
      <c r="I11" s="406"/>
      <c r="J11" s="407"/>
      <c r="K11" s="407"/>
      <c r="L11" s="253"/>
    </row>
    <row r="12" spans="2:12" ht="15.75" customHeight="1">
      <c r="B12" s="442">
        <f t="shared" si="0"/>
        <v>0</v>
      </c>
      <c r="C12" s="442">
        <f t="shared" si="1"/>
        <v>0</v>
      </c>
      <c r="D12" s="442">
        <f t="shared" si="2"/>
        <v>0</v>
      </c>
      <c r="E12" s="251"/>
      <c r="F12" s="329"/>
      <c r="G12" s="329"/>
      <c r="H12" s="331"/>
      <c r="I12" s="406"/>
      <c r="J12" s="407"/>
      <c r="K12" s="407"/>
      <c r="L12" s="253"/>
    </row>
    <row r="13" spans="2:12" ht="15.75" customHeight="1">
      <c r="B13" s="442">
        <f t="shared" si="0"/>
        <v>0</v>
      </c>
      <c r="C13" s="442">
        <f t="shared" si="1"/>
        <v>0</v>
      </c>
      <c r="D13" s="442">
        <f t="shared" si="2"/>
        <v>0</v>
      </c>
      <c r="E13" s="251"/>
      <c r="F13" s="329"/>
      <c r="G13" s="329"/>
      <c r="H13" s="331"/>
      <c r="I13" s="406"/>
      <c r="J13" s="407"/>
      <c r="K13" s="407"/>
      <c r="L13" s="253"/>
    </row>
    <row r="14" spans="2:12" ht="15.75" customHeight="1">
      <c r="B14" s="442">
        <f t="shared" si="0"/>
        <v>0</v>
      </c>
      <c r="C14" s="442">
        <f t="shared" si="1"/>
        <v>0</v>
      </c>
      <c r="D14" s="442">
        <f t="shared" si="2"/>
        <v>0</v>
      </c>
      <c r="E14" s="251"/>
      <c r="F14" s="329"/>
      <c r="G14" s="329"/>
      <c r="H14" s="331"/>
      <c r="I14" s="406"/>
      <c r="J14" s="407"/>
      <c r="K14" s="407"/>
      <c r="L14" s="253"/>
    </row>
    <row r="15" spans="2:12" ht="15.75" customHeight="1">
      <c r="B15" s="442">
        <f t="shared" si="0"/>
        <v>0</v>
      </c>
      <c r="C15" s="442">
        <f t="shared" si="1"/>
        <v>0</v>
      </c>
      <c r="D15" s="442">
        <f t="shared" si="2"/>
        <v>0</v>
      </c>
      <c r="E15" s="251"/>
      <c r="F15" s="329"/>
      <c r="G15" s="329"/>
      <c r="H15" s="331"/>
      <c r="I15" s="406"/>
      <c r="J15" s="407"/>
      <c r="K15" s="407"/>
      <c r="L15" s="253"/>
    </row>
    <row r="16" spans="2:12" ht="15.75" customHeight="1">
      <c r="B16" s="442">
        <f t="shared" si="0"/>
        <v>0</v>
      </c>
      <c r="C16" s="442">
        <f t="shared" si="1"/>
        <v>0</v>
      </c>
      <c r="D16" s="442">
        <f t="shared" si="2"/>
        <v>0</v>
      </c>
      <c r="E16" s="251"/>
      <c r="F16" s="329"/>
      <c r="G16" s="329"/>
      <c r="H16" s="331"/>
      <c r="I16" s="406"/>
      <c r="J16" s="407"/>
      <c r="K16" s="407"/>
      <c r="L16" s="253"/>
    </row>
    <row r="17" spans="2:12" ht="15.75" customHeight="1">
      <c r="B17" s="442">
        <f t="shared" si="0"/>
        <v>0</v>
      </c>
      <c r="C17" s="442">
        <f t="shared" si="1"/>
        <v>0</v>
      </c>
      <c r="D17" s="442">
        <f t="shared" si="2"/>
        <v>0</v>
      </c>
      <c r="E17" s="251"/>
      <c r="F17" s="329"/>
      <c r="G17" s="329"/>
      <c r="H17" s="331"/>
      <c r="I17" s="406"/>
      <c r="J17" s="407"/>
      <c r="K17" s="407"/>
      <c r="L17" s="253"/>
    </row>
    <row r="18" spans="2:12" ht="15.75" customHeight="1">
      <c r="B18" s="442">
        <f t="shared" si="0"/>
        <v>0</v>
      </c>
      <c r="C18" s="442">
        <f t="shared" si="1"/>
        <v>0</v>
      </c>
      <c r="D18" s="442">
        <f t="shared" si="2"/>
        <v>0</v>
      </c>
      <c r="E18" s="251"/>
      <c r="F18" s="329"/>
      <c r="G18" s="329"/>
      <c r="H18" s="331"/>
      <c r="I18" s="406"/>
      <c r="J18" s="407"/>
      <c r="K18" s="407"/>
      <c r="L18" s="253"/>
    </row>
    <row r="19" spans="2:12" ht="15.75" customHeight="1">
      <c r="B19" s="442">
        <f t="shared" si="0"/>
        <v>0</v>
      </c>
      <c r="C19" s="442">
        <f t="shared" si="1"/>
        <v>0</v>
      </c>
      <c r="D19" s="442">
        <f t="shared" si="2"/>
        <v>0</v>
      </c>
      <c r="E19" s="251"/>
      <c r="F19" s="329"/>
      <c r="G19" s="329"/>
      <c r="H19" s="331"/>
      <c r="I19" s="406"/>
      <c r="J19" s="407"/>
      <c r="K19" s="407"/>
      <c r="L19" s="253"/>
    </row>
    <row r="20" spans="2:12" ht="15.75" customHeight="1">
      <c r="B20" s="442">
        <f t="shared" si="0"/>
        <v>0</v>
      </c>
      <c r="C20" s="442">
        <f t="shared" si="1"/>
        <v>0</v>
      </c>
      <c r="D20" s="442">
        <f t="shared" si="2"/>
        <v>0</v>
      </c>
      <c r="E20" s="251"/>
      <c r="F20" s="329"/>
      <c r="G20" s="329"/>
      <c r="H20" s="331"/>
      <c r="I20" s="406"/>
      <c r="J20" s="407"/>
      <c r="K20" s="407"/>
      <c r="L20" s="253"/>
    </row>
    <row r="21" spans="2:12" ht="15.75" customHeight="1">
      <c r="B21" s="442">
        <f t="shared" si="0"/>
        <v>0</v>
      </c>
      <c r="C21" s="442">
        <f t="shared" si="1"/>
        <v>0</v>
      </c>
      <c r="D21" s="442">
        <f t="shared" si="2"/>
        <v>0</v>
      </c>
      <c r="E21" s="251"/>
      <c r="F21" s="329"/>
      <c r="G21" s="329"/>
      <c r="H21" s="331"/>
      <c r="I21" s="406"/>
      <c r="J21" s="407"/>
      <c r="K21" s="407"/>
      <c r="L21" s="253"/>
    </row>
    <row r="22" spans="2:12" ht="15.75" customHeight="1">
      <c r="B22" s="442">
        <f t="shared" si="0"/>
        <v>0</v>
      </c>
      <c r="C22" s="442">
        <f t="shared" si="1"/>
        <v>0</v>
      </c>
      <c r="D22" s="442">
        <f t="shared" si="2"/>
        <v>0</v>
      </c>
      <c r="E22" s="251"/>
      <c r="F22" s="329"/>
      <c r="G22" s="329"/>
      <c r="H22" s="331"/>
      <c r="I22" s="406"/>
      <c r="J22" s="407"/>
      <c r="K22" s="407"/>
      <c r="L22" s="253"/>
    </row>
    <row r="23" spans="2:12" ht="15.75" customHeight="1">
      <c r="B23" s="442">
        <f t="shared" si="0"/>
        <v>0</v>
      </c>
      <c r="C23" s="442">
        <f t="shared" si="1"/>
        <v>0</v>
      </c>
      <c r="D23" s="442">
        <f t="shared" si="2"/>
        <v>0</v>
      </c>
      <c r="E23" s="251"/>
      <c r="F23" s="329"/>
      <c r="G23" s="329"/>
      <c r="H23" s="331"/>
      <c r="I23" s="406"/>
      <c r="J23" s="407"/>
      <c r="K23" s="407"/>
      <c r="L23" s="253"/>
    </row>
    <row r="24" spans="2:12" ht="15.75" customHeight="1">
      <c r="B24" s="442">
        <f t="shared" si="0"/>
        <v>0</v>
      </c>
      <c r="C24" s="442">
        <f t="shared" si="1"/>
        <v>0</v>
      </c>
      <c r="D24" s="442">
        <f t="shared" si="2"/>
        <v>0</v>
      </c>
      <c r="E24" s="251"/>
      <c r="F24" s="329"/>
      <c r="G24" s="329"/>
      <c r="H24" s="331"/>
      <c r="I24" s="406"/>
      <c r="J24" s="407"/>
      <c r="K24" s="407"/>
      <c r="L24" s="253"/>
    </row>
    <row r="25" spans="2:12" ht="15.75" customHeight="1">
      <c r="B25" s="442">
        <f t="shared" si="0"/>
        <v>0</v>
      </c>
      <c r="C25" s="442">
        <f t="shared" si="1"/>
        <v>0</v>
      </c>
      <c r="D25" s="442">
        <f t="shared" si="2"/>
        <v>0</v>
      </c>
      <c r="E25" s="251"/>
      <c r="F25" s="329"/>
      <c r="G25" s="329"/>
      <c r="H25" s="331"/>
      <c r="I25" s="406"/>
      <c r="J25" s="407"/>
      <c r="K25" s="407"/>
      <c r="L25" s="253"/>
    </row>
    <row r="26" spans="2:12" ht="15.75" customHeight="1">
      <c r="B26" s="442">
        <f t="shared" si="0"/>
        <v>0</v>
      </c>
      <c r="C26" s="442">
        <f t="shared" si="1"/>
        <v>0</v>
      </c>
      <c r="D26" s="442">
        <f t="shared" si="2"/>
        <v>0</v>
      </c>
      <c r="E26" s="251"/>
      <c r="F26" s="329"/>
      <c r="G26" s="329"/>
      <c r="H26" s="331"/>
      <c r="I26" s="406"/>
      <c r="J26" s="407"/>
      <c r="K26" s="407"/>
      <c r="L26" s="253"/>
    </row>
    <row r="27" spans="2:12" ht="15.75" customHeight="1">
      <c r="B27" s="442">
        <f t="shared" si="0"/>
        <v>0</v>
      </c>
      <c r="C27" s="442">
        <f t="shared" si="1"/>
        <v>0</v>
      </c>
      <c r="D27" s="442">
        <f t="shared" si="2"/>
        <v>0</v>
      </c>
      <c r="E27" s="251"/>
      <c r="F27" s="329"/>
      <c r="G27" s="329"/>
      <c r="H27" s="331"/>
      <c r="I27" s="406"/>
      <c r="J27" s="407"/>
      <c r="K27" s="407"/>
      <c r="L27" s="253"/>
    </row>
    <row r="28" spans="2:12" ht="15.75" customHeight="1">
      <c r="B28" s="442">
        <f t="shared" si="0"/>
        <v>0</v>
      </c>
      <c r="C28" s="442">
        <f t="shared" si="1"/>
        <v>0</v>
      </c>
      <c r="D28" s="442">
        <f t="shared" si="2"/>
        <v>0</v>
      </c>
      <c r="E28" s="251"/>
      <c r="F28" s="329"/>
      <c r="G28" s="329"/>
      <c r="H28" s="331"/>
      <c r="I28" s="406"/>
      <c r="J28" s="407"/>
      <c r="K28" s="407"/>
      <c r="L28" s="253"/>
    </row>
    <row r="29" spans="2:12" ht="15.75" customHeight="1">
      <c r="B29" s="442">
        <f t="shared" si="0"/>
        <v>0</v>
      </c>
      <c r="C29" s="442">
        <f t="shared" si="1"/>
        <v>0</v>
      </c>
      <c r="D29" s="442">
        <f t="shared" si="2"/>
        <v>0</v>
      </c>
      <c r="E29" s="251"/>
      <c r="F29" s="329"/>
      <c r="G29" s="329"/>
      <c r="H29" s="331"/>
      <c r="I29" s="406"/>
      <c r="J29" s="407"/>
      <c r="K29" s="407"/>
      <c r="L29" s="253"/>
    </row>
    <row r="30" spans="2:12" ht="15.75" customHeight="1">
      <c r="B30" s="442">
        <f t="shared" si="0"/>
        <v>0</v>
      </c>
      <c r="C30" s="442">
        <f t="shared" si="1"/>
        <v>0</v>
      </c>
      <c r="D30" s="442">
        <f t="shared" si="2"/>
        <v>0</v>
      </c>
      <c r="E30" s="251"/>
      <c r="F30" s="329"/>
      <c r="G30" s="329"/>
      <c r="H30" s="331"/>
      <c r="I30" s="406"/>
      <c r="J30" s="407"/>
      <c r="K30" s="407"/>
      <c r="L30" s="253"/>
    </row>
    <row r="31" spans="2:12" ht="15.75" customHeight="1">
      <c r="B31" s="442">
        <f t="shared" si="0"/>
        <v>0</v>
      </c>
      <c r="C31" s="442">
        <f t="shared" si="1"/>
        <v>0</v>
      </c>
      <c r="D31" s="442">
        <f t="shared" si="2"/>
        <v>0</v>
      </c>
      <c r="E31" s="251"/>
      <c r="F31" s="329"/>
      <c r="G31" s="329"/>
      <c r="H31" s="331"/>
      <c r="I31" s="406"/>
      <c r="J31" s="407"/>
      <c r="K31" s="407"/>
      <c r="L31" s="253"/>
    </row>
    <row r="32" spans="2:12" ht="15.75" customHeight="1">
      <c r="B32" s="442">
        <f t="shared" si="0"/>
        <v>0</v>
      </c>
      <c r="C32" s="442">
        <f t="shared" si="1"/>
        <v>0</v>
      </c>
      <c r="D32" s="442">
        <f t="shared" si="2"/>
        <v>0</v>
      </c>
      <c r="E32" s="251"/>
      <c r="F32" s="329"/>
      <c r="G32" s="329"/>
      <c r="H32" s="331"/>
      <c r="I32" s="406"/>
      <c r="J32" s="407"/>
      <c r="K32" s="407"/>
      <c r="L32" s="253"/>
    </row>
    <row r="33" spans="2:12" ht="15.75" customHeight="1">
      <c r="B33" s="442">
        <f t="shared" si="0"/>
        <v>0</v>
      </c>
      <c r="C33" s="442">
        <f t="shared" si="1"/>
        <v>0</v>
      </c>
      <c r="D33" s="442">
        <f t="shared" si="2"/>
        <v>0</v>
      </c>
      <c r="E33" s="251"/>
      <c r="F33" s="329"/>
      <c r="G33" s="329"/>
      <c r="H33" s="331"/>
      <c r="I33" s="406"/>
      <c r="J33" s="407"/>
      <c r="K33" s="407"/>
      <c r="L33" s="253"/>
    </row>
    <row r="34" spans="2:12" ht="15.75" customHeight="1">
      <c r="B34" s="442">
        <f t="shared" si="0"/>
        <v>0</v>
      </c>
      <c r="C34" s="442">
        <f t="shared" si="1"/>
        <v>0</v>
      </c>
      <c r="D34" s="442">
        <f t="shared" si="2"/>
        <v>0</v>
      </c>
      <c r="E34" s="251"/>
      <c r="F34" s="329"/>
      <c r="G34" s="329"/>
      <c r="H34" s="331"/>
      <c r="I34" s="406"/>
      <c r="J34" s="407"/>
      <c r="K34" s="407"/>
      <c r="L34" s="253"/>
    </row>
    <row r="35" spans="2:12" ht="15.75" customHeight="1">
      <c r="B35" s="442">
        <f t="shared" si="0"/>
        <v>0</v>
      </c>
      <c r="C35" s="442">
        <f t="shared" si="1"/>
        <v>0</v>
      </c>
      <c r="D35" s="442">
        <f t="shared" si="2"/>
        <v>0</v>
      </c>
      <c r="E35" s="251"/>
      <c r="F35" s="329"/>
      <c r="G35" s="329"/>
      <c r="H35" s="331"/>
      <c r="I35" s="406"/>
      <c r="J35" s="407"/>
      <c r="K35" s="407"/>
      <c r="L35" s="253"/>
    </row>
    <row r="36" spans="2:12" ht="15.75" customHeight="1">
      <c r="B36" s="442">
        <f t="shared" si="0"/>
        <v>0</v>
      </c>
      <c r="C36" s="442">
        <f t="shared" si="1"/>
        <v>0</v>
      </c>
      <c r="D36" s="442">
        <f t="shared" si="2"/>
        <v>0</v>
      </c>
      <c r="E36" s="251"/>
      <c r="F36" s="329"/>
      <c r="G36" s="329"/>
      <c r="H36" s="331"/>
      <c r="I36" s="406"/>
      <c r="J36" s="407"/>
      <c r="K36" s="407"/>
      <c r="L36" s="253"/>
    </row>
    <row r="37" spans="2:12" ht="15.75" customHeight="1">
      <c r="B37" s="442">
        <f t="shared" si="0"/>
        <v>0</v>
      </c>
      <c r="C37" s="442">
        <f t="shared" si="1"/>
        <v>0</v>
      </c>
      <c r="D37" s="442">
        <f t="shared" si="2"/>
        <v>0</v>
      </c>
      <c r="E37" s="251"/>
      <c r="F37" s="329"/>
      <c r="G37" s="329"/>
      <c r="H37" s="331"/>
      <c r="I37" s="406"/>
      <c r="J37" s="407"/>
      <c r="K37" s="407"/>
      <c r="L37" s="253"/>
    </row>
    <row r="38" spans="2:12" ht="15.75" customHeight="1">
      <c r="B38" s="442">
        <f t="shared" si="0"/>
        <v>0</v>
      </c>
      <c r="C38" s="442">
        <f t="shared" si="1"/>
        <v>0</v>
      </c>
      <c r="D38" s="442">
        <f t="shared" si="2"/>
        <v>0</v>
      </c>
      <c r="E38" s="251"/>
      <c r="F38" s="329"/>
      <c r="G38" s="329"/>
      <c r="H38" s="331"/>
      <c r="I38" s="406"/>
      <c r="J38" s="407"/>
      <c r="K38" s="407"/>
      <c r="L38" s="253"/>
    </row>
    <row r="39" spans="2:12" ht="15.75" customHeight="1">
      <c r="B39" s="442">
        <f t="shared" si="0"/>
        <v>0</v>
      </c>
      <c r="C39" s="442">
        <f t="shared" si="1"/>
        <v>0</v>
      </c>
      <c r="D39" s="442">
        <f t="shared" si="2"/>
        <v>0</v>
      </c>
      <c r="E39" s="251"/>
      <c r="F39" s="329"/>
      <c r="G39" s="329"/>
      <c r="H39" s="331"/>
      <c r="I39" s="406"/>
      <c r="J39" s="407"/>
      <c r="K39" s="407"/>
      <c r="L39" s="253"/>
    </row>
    <row r="40" spans="2:12" ht="15.75" customHeight="1">
      <c r="B40" s="442">
        <f t="shared" si="0"/>
        <v>0</v>
      </c>
      <c r="C40" s="442">
        <f t="shared" si="1"/>
        <v>0</v>
      </c>
      <c r="D40" s="442">
        <f t="shared" si="2"/>
        <v>0</v>
      </c>
      <c r="E40" s="251"/>
      <c r="F40" s="329"/>
      <c r="G40" s="329"/>
      <c r="H40" s="331"/>
      <c r="I40" s="406"/>
      <c r="J40" s="407"/>
      <c r="K40" s="407"/>
      <c r="L40" s="253"/>
    </row>
    <row r="41" spans="2:12" ht="15.75" customHeight="1">
      <c r="B41" s="442">
        <f t="shared" si="0"/>
        <v>0</v>
      </c>
      <c r="C41" s="442">
        <f t="shared" si="1"/>
        <v>0</v>
      </c>
      <c r="D41" s="442">
        <f t="shared" si="2"/>
        <v>0</v>
      </c>
      <c r="E41" s="251"/>
      <c r="F41" s="329"/>
      <c r="G41" s="329"/>
      <c r="H41" s="331"/>
      <c r="I41" s="406"/>
      <c r="J41" s="407"/>
      <c r="K41" s="407"/>
      <c r="L41" s="253"/>
    </row>
    <row r="42" spans="2:12" ht="15.75" customHeight="1">
      <c r="B42" s="442">
        <f t="shared" si="0"/>
        <v>0</v>
      </c>
      <c r="C42" s="442">
        <f t="shared" si="1"/>
        <v>0</v>
      </c>
      <c r="D42" s="442">
        <f t="shared" si="2"/>
        <v>0</v>
      </c>
      <c r="E42" s="251"/>
      <c r="F42" s="329"/>
      <c r="G42" s="329"/>
      <c r="H42" s="331"/>
      <c r="I42" s="406"/>
      <c r="J42" s="407"/>
      <c r="K42" s="407"/>
      <c r="L42" s="253"/>
    </row>
    <row r="43" spans="2:12" ht="15.75" customHeight="1">
      <c r="B43" s="442">
        <f t="shared" si="0"/>
        <v>0</v>
      </c>
      <c r="C43" s="442">
        <f t="shared" si="1"/>
        <v>0</v>
      </c>
      <c r="D43" s="442">
        <f t="shared" si="2"/>
        <v>0</v>
      </c>
      <c r="E43" s="251"/>
      <c r="F43" s="329"/>
      <c r="G43" s="329"/>
      <c r="H43" s="331"/>
      <c r="I43" s="406"/>
      <c r="J43" s="407"/>
      <c r="K43" s="407"/>
      <c r="L43" s="253"/>
    </row>
    <row r="44" spans="2:12" ht="15.75" customHeight="1">
      <c r="B44" s="442">
        <f t="shared" si="0"/>
        <v>0</v>
      </c>
      <c r="C44" s="442">
        <f t="shared" si="1"/>
        <v>0</v>
      </c>
      <c r="D44" s="442">
        <f t="shared" si="2"/>
        <v>0</v>
      </c>
      <c r="E44" s="251"/>
      <c r="F44" s="329"/>
      <c r="G44" s="329"/>
      <c r="H44" s="331"/>
      <c r="I44" s="406"/>
      <c r="J44" s="407"/>
      <c r="K44" s="407"/>
      <c r="L44" s="253"/>
    </row>
    <row r="45" spans="2:12" ht="15.75" customHeight="1">
      <c r="B45" s="442">
        <f t="shared" si="0"/>
        <v>0</v>
      </c>
      <c r="C45" s="442">
        <f t="shared" si="1"/>
        <v>0</v>
      </c>
      <c r="D45" s="442">
        <f t="shared" si="2"/>
        <v>0</v>
      </c>
      <c r="E45" s="251"/>
      <c r="F45" s="329"/>
      <c r="G45" s="329"/>
      <c r="H45" s="331"/>
      <c r="I45" s="406"/>
      <c r="J45" s="407"/>
      <c r="K45" s="407"/>
      <c r="L45" s="253"/>
    </row>
    <row r="46" spans="2:12" ht="15.75" customHeight="1">
      <c r="B46" s="442">
        <f t="shared" si="0"/>
        <v>0</v>
      </c>
      <c r="C46" s="442">
        <f t="shared" si="1"/>
        <v>0</v>
      </c>
      <c r="D46" s="442">
        <f t="shared" si="2"/>
        <v>0</v>
      </c>
      <c r="E46" s="251"/>
      <c r="F46" s="329"/>
      <c r="G46" s="329"/>
      <c r="H46" s="331"/>
      <c r="I46" s="406"/>
      <c r="J46" s="407"/>
      <c r="K46" s="407"/>
      <c r="L46" s="253"/>
    </row>
    <row r="47" spans="2:12" ht="15.75" customHeight="1">
      <c r="B47" s="442">
        <f t="shared" si="0"/>
        <v>0</v>
      </c>
      <c r="C47" s="442">
        <f t="shared" si="1"/>
        <v>0</v>
      </c>
      <c r="D47" s="442">
        <f t="shared" si="2"/>
        <v>0</v>
      </c>
      <c r="E47" s="251"/>
      <c r="F47" s="329"/>
      <c r="G47" s="329"/>
      <c r="H47" s="331"/>
      <c r="I47" s="406"/>
      <c r="J47" s="407"/>
      <c r="K47" s="407"/>
      <c r="L47" s="253"/>
    </row>
    <row r="48" spans="2:12" ht="15.75" customHeight="1">
      <c r="B48" s="442">
        <f t="shared" si="0"/>
        <v>0</v>
      </c>
      <c r="C48" s="442">
        <f t="shared" si="1"/>
        <v>0</v>
      </c>
      <c r="D48" s="442">
        <f t="shared" si="2"/>
        <v>0</v>
      </c>
      <c r="E48" s="251"/>
      <c r="F48" s="329"/>
      <c r="G48" s="329"/>
      <c r="H48" s="331"/>
      <c r="I48" s="406"/>
      <c r="J48" s="407"/>
      <c r="K48" s="407"/>
      <c r="L48" s="253"/>
    </row>
    <row r="49" spans="2:12" ht="15.75" customHeight="1">
      <c r="B49" s="442">
        <f t="shared" si="0"/>
        <v>0</v>
      </c>
      <c r="C49" s="442">
        <f t="shared" si="1"/>
        <v>0</v>
      </c>
      <c r="D49" s="442">
        <f t="shared" si="2"/>
        <v>0</v>
      </c>
      <c r="E49" s="251"/>
      <c r="F49" s="329"/>
      <c r="G49" s="329"/>
      <c r="H49" s="331"/>
      <c r="I49" s="406"/>
      <c r="J49" s="407"/>
      <c r="K49" s="407"/>
      <c r="L49" s="253"/>
    </row>
    <row r="50" spans="2:4" ht="15.75">
      <c r="B50" s="442">
        <f t="shared" si="0"/>
        <v>0</v>
      </c>
      <c r="C50" s="442">
        <f t="shared" si="1"/>
        <v>0</v>
      </c>
      <c r="D50" s="442">
        <f t="shared" si="2"/>
        <v>0</v>
      </c>
    </row>
    <row r="51" spans="2:4" ht="15.75">
      <c r="B51" s="442">
        <f t="shared" si="0"/>
        <v>0</v>
      </c>
      <c r="C51" s="442">
        <f t="shared" si="1"/>
        <v>0</v>
      </c>
      <c r="D51" s="442">
        <f t="shared" si="2"/>
        <v>0</v>
      </c>
    </row>
    <row r="52" spans="2:4" ht="15.75">
      <c r="B52" s="442">
        <f t="shared" si="0"/>
        <v>0</v>
      </c>
      <c r="C52" s="442">
        <f t="shared" si="1"/>
        <v>0</v>
      </c>
      <c r="D52" s="442">
        <f t="shared" si="2"/>
        <v>0</v>
      </c>
    </row>
    <row r="53" spans="2:4" ht="15.75">
      <c r="B53" s="442">
        <f t="shared" si="0"/>
        <v>0</v>
      </c>
      <c r="C53" s="442">
        <f t="shared" si="1"/>
        <v>0</v>
      </c>
      <c r="D53" s="442">
        <f t="shared" si="2"/>
        <v>0</v>
      </c>
    </row>
    <row r="54" spans="2:4" ht="15.75">
      <c r="B54" s="442">
        <f t="shared" si="0"/>
        <v>0</v>
      </c>
      <c r="C54" s="442">
        <f t="shared" si="1"/>
        <v>0</v>
      </c>
      <c r="D54" s="442">
        <f t="shared" si="2"/>
        <v>0</v>
      </c>
    </row>
    <row r="55" spans="2:4" ht="15.75">
      <c r="B55" s="442">
        <f t="shared" si="0"/>
        <v>0</v>
      </c>
      <c r="C55" s="442">
        <f t="shared" si="1"/>
        <v>0</v>
      </c>
      <c r="D55" s="442">
        <f t="shared" si="2"/>
        <v>0</v>
      </c>
    </row>
    <row r="56" spans="2:4" ht="15.75">
      <c r="B56" s="442">
        <f t="shared" si="0"/>
        <v>0</v>
      </c>
      <c r="C56" s="442">
        <f t="shared" si="1"/>
        <v>0</v>
      </c>
      <c r="D56" s="442">
        <f t="shared" si="2"/>
        <v>0</v>
      </c>
    </row>
    <row r="57" spans="2:4" ht="15.75">
      <c r="B57" s="442">
        <f t="shared" si="0"/>
        <v>0</v>
      </c>
      <c r="C57" s="442">
        <f t="shared" si="1"/>
        <v>0</v>
      </c>
      <c r="D57" s="442">
        <f t="shared" si="2"/>
        <v>0</v>
      </c>
    </row>
    <row r="58" spans="2:4" ht="15.75">
      <c r="B58" s="442">
        <f t="shared" si="0"/>
        <v>0</v>
      </c>
      <c r="C58" s="442">
        <f t="shared" si="1"/>
        <v>0</v>
      </c>
      <c r="D58" s="442">
        <f t="shared" si="2"/>
        <v>0</v>
      </c>
    </row>
    <row r="59" spans="2:4" ht="15.75">
      <c r="B59" s="442">
        <f t="shared" si="0"/>
        <v>0</v>
      </c>
      <c r="C59" s="442">
        <f t="shared" si="1"/>
        <v>0</v>
      </c>
      <c r="D59" s="442">
        <f t="shared" si="2"/>
        <v>0</v>
      </c>
    </row>
    <row r="60" spans="2:4" ht="15.75">
      <c r="B60" s="442">
        <f t="shared" si="0"/>
        <v>0</v>
      </c>
      <c r="C60" s="442">
        <f t="shared" si="1"/>
        <v>0</v>
      </c>
      <c r="D60" s="442">
        <f t="shared" si="2"/>
        <v>0</v>
      </c>
    </row>
    <row r="61" spans="2:4" ht="15.75">
      <c r="B61" s="442">
        <f t="shared" si="0"/>
        <v>0</v>
      </c>
      <c r="C61" s="442">
        <f t="shared" si="1"/>
        <v>0</v>
      </c>
      <c r="D61" s="442">
        <f t="shared" si="2"/>
        <v>0</v>
      </c>
    </row>
    <row r="62" spans="2:4" ht="15.75">
      <c r="B62" s="442">
        <f t="shared" si="0"/>
        <v>0</v>
      </c>
      <c r="C62" s="442">
        <f t="shared" si="1"/>
        <v>0</v>
      </c>
      <c r="D62" s="442">
        <f t="shared" si="2"/>
        <v>0</v>
      </c>
    </row>
    <row r="63" spans="2:4" ht="15.75">
      <c r="B63" s="442">
        <f t="shared" si="0"/>
        <v>0</v>
      </c>
      <c r="C63" s="442">
        <f t="shared" si="1"/>
        <v>0</v>
      </c>
      <c r="D63" s="442">
        <f t="shared" si="2"/>
        <v>0</v>
      </c>
    </row>
    <row r="64" spans="2:4" ht="15.75">
      <c r="B64" s="442">
        <f t="shared" si="0"/>
        <v>0</v>
      </c>
      <c r="C64" s="442">
        <f t="shared" si="1"/>
        <v>0</v>
      </c>
      <c r="D64" s="442">
        <f t="shared" si="2"/>
        <v>0</v>
      </c>
    </row>
    <row r="65" spans="2:4" ht="15.75">
      <c r="B65" s="442">
        <f t="shared" si="0"/>
        <v>0</v>
      </c>
      <c r="C65" s="442">
        <f t="shared" si="1"/>
        <v>0</v>
      </c>
      <c r="D65" s="442">
        <f t="shared" si="2"/>
        <v>0</v>
      </c>
    </row>
    <row r="66" spans="2:4" ht="15.75">
      <c r="B66" s="442">
        <f t="shared" si="0"/>
        <v>0</v>
      </c>
      <c r="C66" s="442">
        <f t="shared" si="1"/>
        <v>0</v>
      </c>
      <c r="D66" s="442">
        <f t="shared" si="2"/>
        <v>0</v>
      </c>
    </row>
    <row r="67" spans="2:4" ht="15.75">
      <c r="B67" s="442">
        <f t="shared" si="0"/>
        <v>0</v>
      </c>
      <c r="C67" s="442">
        <f t="shared" si="1"/>
        <v>0</v>
      </c>
      <c r="D67" s="442">
        <f t="shared" si="2"/>
        <v>0</v>
      </c>
    </row>
    <row r="68" spans="2:4" ht="15.75">
      <c r="B68" s="442">
        <f t="shared" si="0"/>
        <v>0</v>
      </c>
      <c r="C68" s="442">
        <f t="shared" si="1"/>
        <v>0</v>
      </c>
      <c r="D68" s="442">
        <f t="shared" si="2"/>
        <v>0</v>
      </c>
    </row>
    <row r="69" spans="2:4" ht="15.75">
      <c r="B69" s="442">
        <f t="shared" si="0"/>
        <v>0</v>
      </c>
      <c r="C69" s="442">
        <f t="shared" si="1"/>
        <v>0</v>
      </c>
      <c r="D69" s="442">
        <f t="shared" si="2"/>
        <v>0</v>
      </c>
    </row>
    <row r="70" spans="2:4" ht="15.75">
      <c r="B70" s="442">
        <f t="shared" si="0"/>
        <v>0</v>
      </c>
      <c r="C70" s="442">
        <f t="shared" si="1"/>
        <v>0</v>
      </c>
      <c r="D70" s="442">
        <f t="shared" si="2"/>
        <v>0</v>
      </c>
    </row>
    <row r="71" spans="2:4" ht="15.75">
      <c r="B71" s="442">
        <f aca="true" t="shared" si="3" ref="B71:B134">IF($H71&lt;=2015,$I71,"")</f>
        <v>0</v>
      </c>
      <c r="C71" s="442">
        <f aca="true" t="shared" si="4" ref="C71:C134">IF($H71&lt;=2015,$J71,"")</f>
        <v>0</v>
      </c>
      <c r="D71" s="442">
        <f aca="true" t="shared" si="5" ref="D71:D134">IF($H71&lt;=2015,$K71,"")</f>
        <v>0</v>
      </c>
    </row>
    <row r="72" spans="2:4" ht="15.75">
      <c r="B72" s="442">
        <f t="shared" si="3"/>
        <v>0</v>
      </c>
      <c r="C72" s="442">
        <f t="shared" si="4"/>
        <v>0</v>
      </c>
      <c r="D72" s="442">
        <f t="shared" si="5"/>
        <v>0</v>
      </c>
    </row>
    <row r="73" spans="2:4" ht="15.75">
      <c r="B73" s="442">
        <f t="shared" si="3"/>
        <v>0</v>
      </c>
      <c r="C73" s="442">
        <f t="shared" si="4"/>
        <v>0</v>
      </c>
      <c r="D73" s="442">
        <f t="shared" si="5"/>
        <v>0</v>
      </c>
    </row>
    <row r="74" spans="2:4" ht="15.75">
      <c r="B74" s="442">
        <f t="shared" si="3"/>
        <v>0</v>
      </c>
      <c r="C74" s="442">
        <f t="shared" si="4"/>
        <v>0</v>
      </c>
      <c r="D74" s="442">
        <f t="shared" si="5"/>
        <v>0</v>
      </c>
    </row>
    <row r="75" spans="2:4" ht="15.75">
      <c r="B75" s="442">
        <f t="shared" si="3"/>
        <v>0</v>
      </c>
      <c r="C75" s="442">
        <f t="shared" si="4"/>
        <v>0</v>
      </c>
      <c r="D75" s="442">
        <f t="shared" si="5"/>
        <v>0</v>
      </c>
    </row>
    <row r="76" spans="2:4" ht="15.75">
      <c r="B76" s="442">
        <f t="shared" si="3"/>
        <v>0</v>
      </c>
      <c r="C76" s="442">
        <f t="shared" si="4"/>
        <v>0</v>
      </c>
      <c r="D76" s="442">
        <f t="shared" si="5"/>
        <v>0</v>
      </c>
    </row>
    <row r="77" spans="2:4" ht="15.75">
      <c r="B77" s="442">
        <f t="shared" si="3"/>
        <v>0</v>
      </c>
      <c r="C77" s="442">
        <f t="shared" si="4"/>
        <v>0</v>
      </c>
      <c r="D77" s="442">
        <f t="shared" si="5"/>
        <v>0</v>
      </c>
    </row>
    <row r="78" spans="2:4" ht="15.75">
      <c r="B78" s="442">
        <f t="shared" si="3"/>
        <v>0</v>
      </c>
      <c r="C78" s="442">
        <f t="shared" si="4"/>
        <v>0</v>
      </c>
      <c r="D78" s="442">
        <f t="shared" si="5"/>
        <v>0</v>
      </c>
    </row>
    <row r="79" spans="2:4" ht="15.75">
      <c r="B79" s="442">
        <f t="shared" si="3"/>
        <v>0</v>
      </c>
      <c r="C79" s="442">
        <f t="shared" si="4"/>
        <v>0</v>
      </c>
      <c r="D79" s="442">
        <f t="shared" si="5"/>
        <v>0</v>
      </c>
    </row>
    <row r="80" spans="2:4" ht="15.75">
      <c r="B80" s="442">
        <f t="shared" si="3"/>
        <v>0</v>
      </c>
      <c r="C80" s="442">
        <f t="shared" si="4"/>
        <v>0</v>
      </c>
      <c r="D80" s="442">
        <f t="shared" si="5"/>
        <v>0</v>
      </c>
    </row>
    <row r="81" spans="2:4" ht="15.75">
      <c r="B81" s="442">
        <f t="shared" si="3"/>
        <v>0</v>
      </c>
      <c r="C81" s="442">
        <f t="shared" si="4"/>
        <v>0</v>
      </c>
      <c r="D81" s="442">
        <f t="shared" si="5"/>
        <v>0</v>
      </c>
    </row>
    <row r="82" spans="2:4" ht="15.75">
      <c r="B82" s="442">
        <f t="shared" si="3"/>
        <v>0</v>
      </c>
      <c r="C82" s="442">
        <f t="shared" si="4"/>
        <v>0</v>
      </c>
      <c r="D82" s="442">
        <f t="shared" si="5"/>
        <v>0</v>
      </c>
    </row>
    <row r="83" spans="2:4" ht="15.75">
      <c r="B83" s="442">
        <f t="shared" si="3"/>
        <v>0</v>
      </c>
      <c r="C83" s="442">
        <f t="shared" si="4"/>
        <v>0</v>
      </c>
      <c r="D83" s="442">
        <f t="shared" si="5"/>
        <v>0</v>
      </c>
    </row>
    <row r="84" spans="2:4" ht="15.75">
      <c r="B84" s="442">
        <f t="shared" si="3"/>
        <v>0</v>
      </c>
      <c r="C84" s="442">
        <f t="shared" si="4"/>
        <v>0</v>
      </c>
      <c r="D84" s="442">
        <f t="shared" si="5"/>
        <v>0</v>
      </c>
    </row>
    <row r="85" spans="2:4" ht="15.75">
      <c r="B85" s="442">
        <f t="shared" si="3"/>
        <v>0</v>
      </c>
      <c r="C85" s="442">
        <f t="shared" si="4"/>
        <v>0</v>
      </c>
      <c r="D85" s="442">
        <f t="shared" si="5"/>
        <v>0</v>
      </c>
    </row>
    <row r="86" spans="2:4" ht="15.75">
      <c r="B86" s="442">
        <f t="shared" si="3"/>
        <v>0</v>
      </c>
      <c r="C86" s="442">
        <f t="shared" si="4"/>
        <v>0</v>
      </c>
      <c r="D86" s="442">
        <f t="shared" si="5"/>
        <v>0</v>
      </c>
    </row>
    <row r="87" spans="2:4" ht="15.75">
      <c r="B87" s="442">
        <f t="shared" si="3"/>
        <v>0</v>
      </c>
      <c r="C87" s="442">
        <f t="shared" si="4"/>
        <v>0</v>
      </c>
      <c r="D87" s="442">
        <f t="shared" si="5"/>
        <v>0</v>
      </c>
    </row>
    <row r="88" spans="2:4" ht="15.75">
      <c r="B88" s="442">
        <f t="shared" si="3"/>
        <v>0</v>
      </c>
      <c r="C88" s="442">
        <f t="shared" si="4"/>
        <v>0</v>
      </c>
      <c r="D88" s="442">
        <f t="shared" si="5"/>
        <v>0</v>
      </c>
    </row>
    <row r="89" spans="2:4" ht="15.75">
      <c r="B89" s="442">
        <f t="shared" si="3"/>
        <v>0</v>
      </c>
      <c r="C89" s="442">
        <f t="shared" si="4"/>
        <v>0</v>
      </c>
      <c r="D89" s="442">
        <f t="shared" si="5"/>
        <v>0</v>
      </c>
    </row>
    <row r="90" spans="2:4" ht="15.75">
      <c r="B90" s="442">
        <f t="shared" si="3"/>
        <v>0</v>
      </c>
      <c r="C90" s="442">
        <f t="shared" si="4"/>
        <v>0</v>
      </c>
      <c r="D90" s="442">
        <f t="shared" si="5"/>
        <v>0</v>
      </c>
    </row>
    <row r="91" spans="2:4" ht="15.75">
      <c r="B91" s="442">
        <f t="shared" si="3"/>
        <v>0</v>
      </c>
      <c r="C91" s="442">
        <f t="shared" si="4"/>
        <v>0</v>
      </c>
      <c r="D91" s="442">
        <f t="shared" si="5"/>
        <v>0</v>
      </c>
    </row>
    <row r="92" spans="2:4" ht="15.75">
      <c r="B92" s="442">
        <f t="shared" si="3"/>
        <v>0</v>
      </c>
      <c r="C92" s="442">
        <f t="shared" si="4"/>
        <v>0</v>
      </c>
      <c r="D92" s="442">
        <f t="shared" si="5"/>
        <v>0</v>
      </c>
    </row>
    <row r="93" spans="2:4" ht="15.75">
      <c r="B93" s="442">
        <f t="shared" si="3"/>
        <v>0</v>
      </c>
      <c r="C93" s="442">
        <f t="shared" si="4"/>
        <v>0</v>
      </c>
      <c r="D93" s="442">
        <f t="shared" si="5"/>
        <v>0</v>
      </c>
    </row>
    <row r="94" spans="2:4" ht="15.75">
      <c r="B94" s="442">
        <f t="shared" si="3"/>
        <v>0</v>
      </c>
      <c r="C94" s="442">
        <f t="shared" si="4"/>
        <v>0</v>
      </c>
      <c r="D94" s="442">
        <f t="shared" si="5"/>
        <v>0</v>
      </c>
    </row>
    <row r="95" spans="2:4" ht="15.75">
      <c r="B95" s="442">
        <f t="shared" si="3"/>
        <v>0</v>
      </c>
      <c r="C95" s="442">
        <f t="shared" si="4"/>
        <v>0</v>
      </c>
      <c r="D95" s="442">
        <f t="shared" si="5"/>
        <v>0</v>
      </c>
    </row>
    <row r="96" spans="2:4" ht="15.75">
      <c r="B96" s="442">
        <f t="shared" si="3"/>
        <v>0</v>
      </c>
      <c r="C96" s="442">
        <f t="shared" si="4"/>
        <v>0</v>
      </c>
      <c r="D96" s="442">
        <f t="shared" si="5"/>
        <v>0</v>
      </c>
    </row>
    <row r="97" spans="2:4" ht="15.75">
      <c r="B97" s="442">
        <f t="shared" si="3"/>
        <v>0</v>
      </c>
      <c r="C97" s="442">
        <f t="shared" si="4"/>
        <v>0</v>
      </c>
      <c r="D97" s="442">
        <f t="shared" si="5"/>
        <v>0</v>
      </c>
    </row>
    <row r="98" spans="2:4" ht="15.75">
      <c r="B98" s="442">
        <f t="shared" si="3"/>
        <v>0</v>
      </c>
      <c r="C98" s="442">
        <f t="shared" si="4"/>
        <v>0</v>
      </c>
      <c r="D98" s="442">
        <f t="shared" si="5"/>
        <v>0</v>
      </c>
    </row>
    <row r="99" spans="2:4" ht="15.75">
      <c r="B99" s="442">
        <f t="shared" si="3"/>
        <v>0</v>
      </c>
      <c r="C99" s="442">
        <f t="shared" si="4"/>
        <v>0</v>
      </c>
      <c r="D99" s="442">
        <f t="shared" si="5"/>
        <v>0</v>
      </c>
    </row>
    <row r="100" spans="2:4" ht="15.75">
      <c r="B100" s="442">
        <f t="shared" si="3"/>
        <v>0</v>
      </c>
      <c r="C100" s="442">
        <f t="shared" si="4"/>
        <v>0</v>
      </c>
      <c r="D100" s="442">
        <f t="shared" si="5"/>
        <v>0</v>
      </c>
    </row>
    <row r="101" spans="2:4" ht="15.75">
      <c r="B101" s="442">
        <f t="shared" si="3"/>
        <v>0</v>
      </c>
      <c r="C101" s="442">
        <f t="shared" si="4"/>
        <v>0</v>
      </c>
      <c r="D101" s="442">
        <f t="shared" si="5"/>
        <v>0</v>
      </c>
    </row>
    <row r="102" spans="2:4" ht="15.75">
      <c r="B102" s="442">
        <f t="shared" si="3"/>
        <v>0</v>
      </c>
      <c r="C102" s="442">
        <f t="shared" si="4"/>
        <v>0</v>
      </c>
      <c r="D102" s="442">
        <f t="shared" si="5"/>
        <v>0</v>
      </c>
    </row>
    <row r="103" spans="2:4" ht="15.75">
      <c r="B103" s="442">
        <f t="shared" si="3"/>
        <v>0</v>
      </c>
      <c r="C103" s="442">
        <f t="shared" si="4"/>
        <v>0</v>
      </c>
      <c r="D103" s="442">
        <f t="shared" si="5"/>
        <v>0</v>
      </c>
    </row>
    <row r="104" spans="2:4" ht="15.75">
      <c r="B104" s="442">
        <f t="shared" si="3"/>
        <v>0</v>
      </c>
      <c r="C104" s="442">
        <f t="shared" si="4"/>
        <v>0</v>
      </c>
      <c r="D104" s="442">
        <f t="shared" si="5"/>
        <v>0</v>
      </c>
    </row>
    <row r="105" spans="2:4" ht="15.75">
      <c r="B105" s="442">
        <f t="shared" si="3"/>
        <v>0</v>
      </c>
      <c r="C105" s="442">
        <f t="shared" si="4"/>
        <v>0</v>
      </c>
      <c r="D105" s="442">
        <f t="shared" si="5"/>
        <v>0</v>
      </c>
    </row>
    <row r="106" spans="2:4" ht="15.75">
      <c r="B106" s="442">
        <f t="shared" si="3"/>
        <v>0</v>
      </c>
      <c r="C106" s="442">
        <f t="shared" si="4"/>
        <v>0</v>
      </c>
      <c r="D106" s="442">
        <f t="shared" si="5"/>
        <v>0</v>
      </c>
    </row>
    <row r="107" spans="2:4" ht="15.75">
      <c r="B107" s="442">
        <f t="shared" si="3"/>
        <v>0</v>
      </c>
      <c r="C107" s="442">
        <f t="shared" si="4"/>
        <v>0</v>
      </c>
      <c r="D107" s="442">
        <f t="shared" si="5"/>
        <v>0</v>
      </c>
    </row>
    <row r="108" spans="2:4" ht="15.75">
      <c r="B108" s="442">
        <f t="shared" si="3"/>
        <v>0</v>
      </c>
      <c r="C108" s="442">
        <f t="shared" si="4"/>
        <v>0</v>
      </c>
      <c r="D108" s="442">
        <f t="shared" si="5"/>
        <v>0</v>
      </c>
    </row>
    <row r="109" spans="2:4" ht="15.75">
      <c r="B109" s="442">
        <f t="shared" si="3"/>
        <v>0</v>
      </c>
      <c r="C109" s="442">
        <f t="shared" si="4"/>
        <v>0</v>
      </c>
      <c r="D109" s="442">
        <f t="shared" si="5"/>
        <v>0</v>
      </c>
    </row>
    <row r="110" spans="2:4" ht="15.75">
      <c r="B110" s="442">
        <f t="shared" si="3"/>
        <v>0</v>
      </c>
      <c r="C110" s="442">
        <f t="shared" si="4"/>
        <v>0</v>
      </c>
      <c r="D110" s="442">
        <f t="shared" si="5"/>
        <v>0</v>
      </c>
    </row>
    <row r="111" spans="2:4" ht="15.75">
      <c r="B111" s="442">
        <f t="shared" si="3"/>
        <v>0</v>
      </c>
      <c r="C111" s="442">
        <f t="shared" si="4"/>
        <v>0</v>
      </c>
      <c r="D111" s="442">
        <f t="shared" si="5"/>
        <v>0</v>
      </c>
    </row>
    <row r="112" spans="2:4" ht="15.75">
      <c r="B112" s="442">
        <f t="shared" si="3"/>
        <v>0</v>
      </c>
      <c r="C112" s="442">
        <f t="shared" si="4"/>
        <v>0</v>
      </c>
      <c r="D112" s="442">
        <f t="shared" si="5"/>
        <v>0</v>
      </c>
    </row>
    <row r="113" spans="2:4" ht="15.75">
      <c r="B113" s="442">
        <f t="shared" si="3"/>
        <v>0</v>
      </c>
      <c r="C113" s="442">
        <f t="shared" si="4"/>
        <v>0</v>
      </c>
      <c r="D113" s="442">
        <f t="shared" si="5"/>
        <v>0</v>
      </c>
    </row>
    <row r="114" spans="2:4" ht="15.75">
      <c r="B114" s="442">
        <f t="shared" si="3"/>
        <v>0</v>
      </c>
      <c r="C114" s="442">
        <f t="shared" si="4"/>
        <v>0</v>
      </c>
      <c r="D114" s="442">
        <f t="shared" si="5"/>
        <v>0</v>
      </c>
    </row>
    <row r="115" spans="2:4" ht="15.75">
      <c r="B115" s="442">
        <f t="shared" si="3"/>
        <v>0</v>
      </c>
      <c r="C115" s="442">
        <f t="shared" si="4"/>
        <v>0</v>
      </c>
      <c r="D115" s="442">
        <f t="shared" si="5"/>
        <v>0</v>
      </c>
    </row>
    <row r="116" spans="2:4" ht="15.75">
      <c r="B116" s="442">
        <f t="shared" si="3"/>
        <v>0</v>
      </c>
      <c r="C116" s="442">
        <f t="shared" si="4"/>
        <v>0</v>
      </c>
      <c r="D116" s="442">
        <f t="shared" si="5"/>
        <v>0</v>
      </c>
    </row>
    <row r="117" spans="2:4" ht="15.75">
      <c r="B117" s="442">
        <f t="shared" si="3"/>
        <v>0</v>
      </c>
      <c r="C117" s="442">
        <f t="shared" si="4"/>
        <v>0</v>
      </c>
      <c r="D117" s="442">
        <f t="shared" si="5"/>
        <v>0</v>
      </c>
    </row>
    <row r="118" spans="2:4" ht="15.75">
      <c r="B118" s="442">
        <f t="shared" si="3"/>
        <v>0</v>
      </c>
      <c r="C118" s="442">
        <f t="shared" si="4"/>
        <v>0</v>
      </c>
      <c r="D118" s="442">
        <f t="shared" si="5"/>
        <v>0</v>
      </c>
    </row>
    <row r="119" spans="2:4" ht="15.75">
      <c r="B119" s="442">
        <f t="shared" si="3"/>
        <v>0</v>
      </c>
      <c r="C119" s="442">
        <f t="shared" si="4"/>
        <v>0</v>
      </c>
      <c r="D119" s="442">
        <f t="shared" si="5"/>
        <v>0</v>
      </c>
    </row>
    <row r="120" spans="2:4" ht="15.75">
      <c r="B120" s="442">
        <f t="shared" si="3"/>
        <v>0</v>
      </c>
      <c r="C120" s="442">
        <f t="shared" si="4"/>
        <v>0</v>
      </c>
      <c r="D120" s="442">
        <f t="shared" si="5"/>
        <v>0</v>
      </c>
    </row>
    <row r="121" spans="2:4" ht="15.75">
      <c r="B121" s="442">
        <f t="shared" si="3"/>
        <v>0</v>
      </c>
      <c r="C121" s="442">
        <f t="shared" si="4"/>
        <v>0</v>
      </c>
      <c r="D121" s="442">
        <f t="shared" si="5"/>
        <v>0</v>
      </c>
    </row>
    <row r="122" spans="2:4" ht="15.75">
      <c r="B122" s="442">
        <f t="shared" si="3"/>
        <v>0</v>
      </c>
      <c r="C122" s="442">
        <f t="shared" si="4"/>
        <v>0</v>
      </c>
      <c r="D122" s="442">
        <f t="shared" si="5"/>
        <v>0</v>
      </c>
    </row>
    <row r="123" spans="2:4" ht="15.75">
      <c r="B123" s="442">
        <f t="shared" si="3"/>
        <v>0</v>
      </c>
      <c r="C123" s="442">
        <f t="shared" si="4"/>
        <v>0</v>
      </c>
      <c r="D123" s="442">
        <f t="shared" si="5"/>
        <v>0</v>
      </c>
    </row>
    <row r="124" spans="2:4" ht="15.75">
      <c r="B124" s="442">
        <f t="shared" si="3"/>
        <v>0</v>
      </c>
      <c r="C124" s="442">
        <f t="shared" si="4"/>
        <v>0</v>
      </c>
      <c r="D124" s="442">
        <f t="shared" si="5"/>
        <v>0</v>
      </c>
    </row>
    <row r="125" spans="2:4" ht="15.75">
      <c r="B125" s="442">
        <f t="shared" si="3"/>
        <v>0</v>
      </c>
      <c r="C125" s="442">
        <f t="shared" si="4"/>
        <v>0</v>
      </c>
      <c r="D125" s="442">
        <f t="shared" si="5"/>
        <v>0</v>
      </c>
    </row>
    <row r="126" spans="2:4" ht="15.75">
      <c r="B126" s="442">
        <f t="shared" si="3"/>
        <v>0</v>
      </c>
      <c r="C126" s="442">
        <f t="shared" si="4"/>
        <v>0</v>
      </c>
      <c r="D126" s="442">
        <f t="shared" si="5"/>
        <v>0</v>
      </c>
    </row>
    <row r="127" spans="2:4" ht="15.75">
      <c r="B127" s="442">
        <f t="shared" si="3"/>
        <v>0</v>
      </c>
      <c r="C127" s="442">
        <f t="shared" si="4"/>
        <v>0</v>
      </c>
      <c r="D127" s="442">
        <f t="shared" si="5"/>
        <v>0</v>
      </c>
    </row>
    <row r="128" spans="2:4" ht="15.75">
      <c r="B128" s="442">
        <f t="shared" si="3"/>
        <v>0</v>
      </c>
      <c r="C128" s="442">
        <f t="shared" si="4"/>
        <v>0</v>
      </c>
      <c r="D128" s="442">
        <f t="shared" si="5"/>
        <v>0</v>
      </c>
    </row>
    <row r="129" spans="2:4" ht="15.75">
      <c r="B129" s="442">
        <f t="shared" si="3"/>
        <v>0</v>
      </c>
      <c r="C129" s="442">
        <f t="shared" si="4"/>
        <v>0</v>
      </c>
      <c r="D129" s="442">
        <f t="shared" si="5"/>
        <v>0</v>
      </c>
    </row>
    <row r="130" spans="2:4" ht="15.75">
      <c r="B130" s="442">
        <f t="shared" si="3"/>
        <v>0</v>
      </c>
      <c r="C130" s="442">
        <f t="shared" si="4"/>
        <v>0</v>
      </c>
      <c r="D130" s="442">
        <f t="shared" si="5"/>
        <v>0</v>
      </c>
    </row>
    <row r="131" spans="2:4" ht="15.75">
      <c r="B131" s="442">
        <f t="shared" si="3"/>
        <v>0</v>
      </c>
      <c r="C131" s="442">
        <f t="shared" si="4"/>
        <v>0</v>
      </c>
      <c r="D131" s="442">
        <f t="shared" si="5"/>
        <v>0</v>
      </c>
    </row>
    <row r="132" spans="2:4" ht="15.75">
      <c r="B132" s="442">
        <f t="shared" si="3"/>
        <v>0</v>
      </c>
      <c r="C132" s="442">
        <f t="shared" si="4"/>
        <v>0</v>
      </c>
      <c r="D132" s="442">
        <f t="shared" si="5"/>
        <v>0</v>
      </c>
    </row>
    <row r="133" spans="2:4" ht="15.75">
      <c r="B133" s="442">
        <f t="shared" si="3"/>
        <v>0</v>
      </c>
      <c r="C133" s="442">
        <f t="shared" si="4"/>
        <v>0</v>
      </c>
      <c r="D133" s="442">
        <f t="shared" si="5"/>
        <v>0</v>
      </c>
    </row>
    <row r="134" spans="2:4" ht="15.75">
      <c r="B134" s="442">
        <f t="shared" si="3"/>
        <v>0</v>
      </c>
      <c r="C134" s="442">
        <f t="shared" si="4"/>
        <v>0</v>
      </c>
      <c r="D134" s="442">
        <f t="shared" si="5"/>
        <v>0</v>
      </c>
    </row>
    <row r="135" spans="2:4" ht="15.75">
      <c r="B135" s="442">
        <f aca="true" t="shared" si="6" ref="B135:B198">IF($H135&lt;=2015,$I135,"")</f>
        <v>0</v>
      </c>
      <c r="C135" s="442">
        <f aca="true" t="shared" si="7" ref="C135:C198">IF($H135&lt;=2015,$J135,"")</f>
        <v>0</v>
      </c>
      <c r="D135" s="442">
        <f aca="true" t="shared" si="8" ref="D135:D198">IF($H135&lt;=2015,$K135,"")</f>
        <v>0</v>
      </c>
    </row>
    <row r="136" spans="2:4" ht="15.75">
      <c r="B136" s="442">
        <f t="shared" si="6"/>
        <v>0</v>
      </c>
      <c r="C136" s="442">
        <f t="shared" si="7"/>
        <v>0</v>
      </c>
      <c r="D136" s="442">
        <f t="shared" si="8"/>
        <v>0</v>
      </c>
    </row>
    <row r="137" spans="2:4" ht="15.75">
      <c r="B137" s="442">
        <f t="shared" si="6"/>
        <v>0</v>
      </c>
      <c r="C137" s="442">
        <f t="shared" si="7"/>
        <v>0</v>
      </c>
      <c r="D137" s="442">
        <f t="shared" si="8"/>
        <v>0</v>
      </c>
    </row>
    <row r="138" spans="2:4" ht="15.75">
      <c r="B138" s="442">
        <f t="shared" si="6"/>
        <v>0</v>
      </c>
      <c r="C138" s="442">
        <f t="shared" si="7"/>
        <v>0</v>
      </c>
      <c r="D138" s="442">
        <f t="shared" si="8"/>
        <v>0</v>
      </c>
    </row>
    <row r="139" spans="2:4" ht="15.75">
      <c r="B139" s="442">
        <f t="shared" si="6"/>
        <v>0</v>
      </c>
      <c r="C139" s="442">
        <f t="shared" si="7"/>
        <v>0</v>
      </c>
      <c r="D139" s="442">
        <f t="shared" si="8"/>
        <v>0</v>
      </c>
    </row>
    <row r="140" spans="2:4" ht="15.75">
      <c r="B140" s="442">
        <f t="shared" si="6"/>
        <v>0</v>
      </c>
      <c r="C140" s="442">
        <f t="shared" si="7"/>
        <v>0</v>
      </c>
      <c r="D140" s="442">
        <f t="shared" si="8"/>
        <v>0</v>
      </c>
    </row>
    <row r="141" spans="2:4" ht="15.75">
      <c r="B141" s="442">
        <f t="shared" si="6"/>
        <v>0</v>
      </c>
      <c r="C141" s="442">
        <f t="shared" si="7"/>
        <v>0</v>
      </c>
      <c r="D141" s="442">
        <f t="shared" si="8"/>
        <v>0</v>
      </c>
    </row>
    <row r="142" spans="2:4" ht="15.75">
      <c r="B142" s="442">
        <f t="shared" si="6"/>
        <v>0</v>
      </c>
      <c r="C142" s="442">
        <f t="shared" si="7"/>
        <v>0</v>
      </c>
      <c r="D142" s="442">
        <f t="shared" si="8"/>
        <v>0</v>
      </c>
    </row>
    <row r="143" spans="2:4" ht="15.75">
      <c r="B143" s="442">
        <f t="shared" si="6"/>
        <v>0</v>
      </c>
      <c r="C143" s="442">
        <f t="shared" si="7"/>
        <v>0</v>
      </c>
      <c r="D143" s="442">
        <f t="shared" si="8"/>
        <v>0</v>
      </c>
    </row>
    <row r="144" spans="2:4" ht="15.75">
      <c r="B144" s="442">
        <f t="shared" si="6"/>
        <v>0</v>
      </c>
      <c r="C144" s="442">
        <f t="shared" si="7"/>
        <v>0</v>
      </c>
      <c r="D144" s="442">
        <f t="shared" si="8"/>
        <v>0</v>
      </c>
    </row>
    <row r="145" spans="2:4" ht="15.75">
      <c r="B145" s="442">
        <f t="shared" si="6"/>
        <v>0</v>
      </c>
      <c r="C145" s="442">
        <f t="shared" si="7"/>
        <v>0</v>
      </c>
      <c r="D145" s="442">
        <f t="shared" si="8"/>
        <v>0</v>
      </c>
    </row>
    <row r="146" spans="2:4" ht="15.75">
      <c r="B146" s="442">
        <f t="shared" si="6"/>
        <v>0</v>
      </c>
      <c r="C146" s="442">
        <f t="shared" si="7"/>
        <v>0</v>
      </c>
      <c r="D146" s="442">
        <f t="shared" si="8"/>
        <v>0</v>
      </c>
    </row>
    <row r="147" spans="2:4" ht="15.75">
      <c r="B147" s="442">
        <f t="shared" si="6"/>
        <v>0</v>
      </c>
      <c r="C147" s="442">
        <f t="shared" si="7"/>
        <v>0</v>
      </c>
      <c r="D147" s="442">
        <f t="shared" si="8"/>
        <v>0</v>
      </c>
    </row>
    <row r="148" spans="2:4" ht="15.75">
      <c r="B148" s="442">
        <f t="shared" si="6"/>
        <v>0</v>
      </c>
      <c r="C148" s="442">
        <f t="shared" si="7"/>
        <v>0</v>
      </c>
      <c r="D148" s="442">
        <f t="shared" si="8"/>
        <v>0</v>
      </c>
    </row>
    <row r="149" spans="2:4" ht="15.75">
      <c r="B149" s="442">
        <f t="shared" si="6"/>
        <v>0</v>
      </c>
      <c r="C149" s="442">
        <f t="shared" si="7"/>
        <v>0</v>
      </c>
      <c r="D149" s="442">
        <f t="shared" si="8"/>
        <v>0</v>
      </c>
    </row>
    <row r="150" spans="2:4" ht="15.75">
      <c r="B150" s="442">
        <f t="shared" si="6"/>
        <v>0</v>
      </c>
      <c r="C150" s="442">
        <f t="shared" si="7"/>
        <v>0</v>
      </c>
      <c r="D150" s="442">
        <f t="shared" si="8"/>
        <v>0</v>
      </c>
    </row>
    <row r="151" spans="2:4" ht="15.75">
      <c r="B151" s="442">
        <f t="shared" si="6"/>
        <v>0</v>
      </c>
      <c r="C151" s="442">
        <f t="shared" si="7"/>
        <v>0</v>
      </c>
      <c r="D151" s="442">
        <f t="shared" si="8"/>
        <v>0</v>
      </c>
    </row>
    <row r="152" spans="2:4" ht="15.75">
      <c r="B152" s="442">
        <f t="shared" si="6"/>
        <v>0</v>
      </c>
      <c r="C152" s="442">
        <f t="shared" si="7"/>
        <v>0</v>
      </c>
      <c r="D152" s="442">
        <f t="shared" si="8"/>
        <v>0</v>
      </c>
    </row>
    <row r="153" spans="2:4" ht="15.75">
      <c r="B153" s="442">
        <f t="shared" si="6"/>
        <v>0</v>
      </c>
      <c r="C153" s="442">
        <f t="shared" si="7"/>
        <v>0</v>
      </c>
      <c r="D153" s="442">
        <f t="shared" si="8"/>
        <v>0</v>
      </c>
    </row>
    <row r="154" spans="2:4" ht="15.75">
      <c r="B154" s="442">
        <f t="shared" si="6"/>
        <v>0</v>
      </c>
      <c r="C154" s="442">
        <f t="shared" si="7"/>
        <v>0</v>
      </c>
      <c r="D154" s="442">
        <f t="shared" si="8"/>
        <v>0</v>
      </c>
    </row>
    <row r="155" spans="2:4" ht="15.75">
      <c r="B155" s="442">
        <f t="shared" si="6"/>
        <v>0</v>
      </c>
      <c r="C155" s="442">
        <f t="shared" si="7"/>
        <v>0</v>
      </c>
      <c r="D155" s="442">
        <f t="shared" si="8"/>
        <v>0</v>
      </c>
    </row>
    <row r="156" spans="2:4" ht="15.75">
      <c r="B156" s="442">
        <f t="shared" si="6"/>
        <v>0</v>
      </c>
      <c r="C156" s="442">
        <f t="shared" si="7"/>
        <v>0</v>
      </c>
      <c r="D156" s="442">
        <f t="shared" si="8"/>
        <v>0</v>
      </c>
    </row>
    <row r="157" spans="2:4" ht="15.75">
      <c r="B157" s="442">
        <f t="shared" si="6"/>
        <v>0</v>
      </c>
      <c r="C157" s="442">
        <f t="shared" si="7"/>
        <v>0</v>
      </c>
      <c r="D157" s="442">
        <f t="shared" si="8"/>
        <v>0</v>
      </c>
    </row>
    <row r="158" spans="2:4" ht="15.75">
      <c r="B158" s="442">
        <f t="shared" si="6"/>
        <v>0</v>
      </c>
      <c r="C158" s="442">
        <f t="shared" si="7"/>
        <v>0</v>
      </c>
      <c r="D158" s="442">
        <f t="shared" si="8"/>
        <v>0</v>
      </c>
    </row>
    <row r="159" spans="2:4" ht="15.75">
      <c r="B159" s="442">
        <f t="shared" si="6"/>
        <v>0</v>
      </c>
      <c r="C159" s="442">
        <f t="shared" si="7"/>
        <v>0</v>
      </c>
      <c r="D159" s="442">
        <f t="shared" si="8"/>
        <v>0</v>
      </c>
    </row>
    <row r="160" spans="2:4" ht="15.75">
      <c r="B160" s="442">
        <f t="shared" si="6"/>
        <v>0</v>
      </c>
      <c r="C160" s="442">
        <f t="shared" si="7"/>
        <v>0</v>
      </c>
      <c r="D160" s="442">
        <f t="shared" si="8"/>
        <v>0</v>
      </c>
    </row>
    <row r="161" spans="2:4" ht="15.75">
      <c r="B161" s="442">
        <f t="shared" si="6"/>
        <v>0</v>
      </c>
      <c r="C161" s="442">
        <f t="shared" si="7"/>
        <v>0</v>
      </c>
      <c r="D161" s="442">
        <f t="shared" si="8"/>
        <v>0</v>
      </c>
    </row>
    <row r="162" spans="2:4" ht="15.75">
      <c r="B162" s="442">
        <f t="shared" si="6"/>
        <v>0</v>
      </c>
      <c r="C162" s="442">
        <f t="shared" si="7"/>
        <v>0</v>
      </c>
      <c r="D162" s="442">
        <f t="shared" si="8"/>
        <v>0</v>
      </c>
    </row>
    <row r="163" spans="2:4" ht="15.75">
      <c r="B163" s="442">
        <f t="shared" si="6"/>
        <v>0</v>
      </c>
      <c r="C163" s="442">
        <f t="shared" si="7"/>
        <v>0</v>
      </c>
      <c r="D163" s="442">
        <f t="shared" si="8"/>
        <v>0</v>
      </c>
    </row>
    <row r="164" spans="2:4" ht="15.75">
      <c r="B164" s="442">
        <f t="shared" si="6"/>
        <v>0</v>
      </c>
      <c r="C164" s="442">
        <f t="shared" si="7"/>
        <v>0</v>
      </c>
      <c r="D164" s="442">
        <f t="shared" si="8"/>
        <v>0</v>
      </c>
    </row>
    <row r="165" spans="2:4" ht="15.75">
      <c r="B165" s="442">
        <f t="shared" si="6"/>
        <v>0</v>
      </c>
      <c r="C165" s="442">
        <f t="shared" si="7"/>
        <v>0</v>
      </c>
      <c r="D165" s="442">
        <f t="shared" si="8"/>
        <v>0</v>
      </c>
    </row>
    <row r="166" spans="2:4" ht="15.75">
      <c r="B166" s="442">
        <f t="shared" si="6"/>
        <v>0</v>
      </c>
      <c r="C166" s="442">
        <f t="shared" si="7"/>
        <v>0</v>
      </c>
      <c r="D166" s="442">
        <f t="shared" si="8"/>
        <v>0</v>
      </c>
    </row>
    <row r="167" spans="2:4" ht="15.75">
      <c r="B167" s="442">
        <f t="shared" si="6"/>
        <v>0</v>
      </c>
      <c r="C167" s="442">
        <f t="shared" si="7"/>
        <v>0</v>
      </c>
      <c r="D167" s="442">
        <f t="shared" si="8"/>
        <v>0</v>
      </c>
    </row>
    <row r="168" spans="2:4" ht="15.75">
      <c r="B168" s="442">
        <f t="shared" si="6"/>
        <v>0</v>
      </c>
      <c r="C168" s="442">
        <f t="shared" si="7"/>
        <v>0</v>
      </c>
      <c r="D168" s="442">
        <f t="shared" si="8"/>
        <v>0</v>
      </c>
    </row>
    <row r="169" spans="2:4" ht="15.75">
      <c r="B169" s="442">
        <f t="shared" si="6"/>
        <v>0</v>
      </c>
      <c r="C169" s="442">
        <f t="shared" si="7"/>
        <v>0</v>
      </c>
      <c r="D169" s="442">
        <f t="shared" si="8"/>
        <v>0</v>
      </c>
    </row>
    <row r="170" spans="2:4" ht="15.75">
      <c r="B170" s="442">
        <f t="shared" si="6"/>
        <v>0</v>
      </c>
      <c r="C170" s="442">
        <f t="shared" si="7"/>
        <v>0</v>
      </c>
      <c r="D170" s="442">
        <f t="shared" si="8"/>
        <v>0</v>
      </c>
    </row>
    <row r="171" spans="2:4" ht="15.75">
      <c r="B171" s="442">
        <f t="shared" si="6"/>
        <v>0</v>
      </c>
      <c r="C171" s="442">
        <f t="shared" si="7"/>
        <v>0</v>
      </c>
      <c r="D171" s="442">
        <f t="shared" si="8"/>
        <v>0</v>
      </c>
    </row>
    <row r="172" spans="2:4" ht="15.75">
      <c r="B172" s="442">
        <f t="shared" si="6"/>
        <v>0</v>
      </c>
      <c r="C172" s="442">
        <f t="shared" si="7"/>
        <v>0</v>
      </c>
      <c r="D172" s="442">
        <f t="shared" si="8"/>
        <v>0</v>
      </c>
    </row>
    <row r="173" spans="2:4" ht="15.75">
      <c r="B173" s="442">
        <f t="shared" si="6"/>
        <v>0</v>
      </c>
      <c r="C173" s="442">
        <f t="shared" si="7"/>
        <v>0</v>
      </c>
      <c r="D173" s="442">
        <f t="shared" si="8"/>
        <v>0</v>
      </c>
    </row>
    <row r="174" spans="2:4" ht="15.75">
      <c r="B174" s="442">
        <f t="shared" si="6"/>
        <v>0</v>
      </c>
      <c r="C174" s="442">
        <f t="shared" si="7"/>
        <v>0</v>
      </c>
      <c r="D174" s="442">
        <f t="shared" si="8"/>
        <v>0</v>
      </c>
    </row>
    <row r="175" spans="2:4" ht="15.75">
      <c r="B175" s="442">
        <f t="shared" si="6"/>
        <v>0</v>
      </c>
      <c r="C175" s="442">
        <f t="shared" si="7"/>
        <v>0</v>
      </c>
      <c r="D175" s="442">
        <f t="shared" si="8"/>
        <v>0</v>
      </c>
    </row>
    <row r="176" spans="2:4" ht="15.75">
      <c r="B176" s="442">
        <f t="shared" si="6"/>
        <v>0</v>
      </c>
      <c r="C176" s="442">
        <f t="shared" si="7"/>
        <v>0</v>
      </c>
      <c r="D176" s="442">
        <f t="shared" si="8"/>
        <v>0</v>
      </c>
    </row>
    <row r="177" spans="2:4" ht="15.75">
      <c r="B177" s="442">
        <f t="shared" si="6"/>
        <v>0</v>
      </c>
      <c r="C177" s="442">
        <f t="shared" si="7"/>
        <v>0</v>
      </c>
      <c r="D177" s="442">
        <f t="shared" si="8"/>
        <v>0</v>
      </c>
    </row>
    <row r="178" spans="2:4" ht="15.75">
      <c r="B178" s="442">
        <f t="shared" si="6"/>
        <v>0</v>
      </c>
      <c r="C178" s="442">
        <f t="shared" si="7"/>
        <v>0</v>
      </c>
      <c r="D178" s="442">
        <f t="shared" si="8"/>
        <v>0</v>
      </c>
    </row>
    <row r="179" spans="2:4" ht="15.75">
      <c r="B179" s="442">
        <f t="shared" si="6"/>
        <v>0</v>
      </c>
      <c r="C179" s="442">
        <f t="shared" si="7"/>
        <v>0</v>
      </c>
      <c r="D179" s="442">
        <f t="shared" si="8"/>
        <v>0</v>
      </c>
    </row>
    <row r="180" spans="2:4" ht="15.75">
      <c r="B180" s="442">
        <f t="shared" si="6"/>
        <v>0</v>
      </c>
      <c r="C180" s="442">
        <f t="shared" si="7"/>
        <v>0</v>
      </c>
      <c r="D180" s="442">
        <f t="shared" si="8"/>
        <v>0</v>
      </c>
    </row>
    <row r="181" spans="2:4" ht="15.75">
      <c r="B181" s="442">
        <f t="shared" si="6"/>
        <v>0</v>
      </c>
      <c r="C181" s="442">
        <f t="shared" si="7"/>
        <v>0</v>
      </c>
      <c r="D181" s="442">
        <f t="shared" si="8"/>
        <v>0</v>
      </c>
    </row>
    <row r="182" spans="2:4" ht="15.75">
      <c r="B182" s="442">
        <f t="shared" si="6"/>
        <v>0</v>
      </c>
      <c r="C182" s="442">
        <f t="shared" si="7"/>
        <v>0</v>
      </c>
      <c r="D182" s="442">
        <f t="shared" si="8"/>
        <v>0</v>
      </c>
    </row>
    <row r="183" spans="2:4" ht="15.75">
      <c r="B183" s="442">
        <f t="shared" si="6"/>
        <v>0</v>
      </c>
      <c r="C183" s="442">
        <f t="shared" si="7"/>
        <v>0</v>
      </c>
      <c r="D183" s="442">
        <f t="shared" si="8"/>
        <v>0</v>
      </c>
    </row>
    <row r="184" spans="2:4" ht="15.75">
      <c r="B184" s="442">
        <f t="shared" si="6"/>
        <v>0</v>
      </c>
      <c r="C184" s="442">
        <f t="shared" si="7"/>
        <v>0</v>
      </c>
      <c r="D184" s="442">
        <f t="shared" si="8"/>
        <v>0</v>
      </c>
    </row>
    <row r="185" spans="2:4" ht="15.75">
      <c r="B185" s="442">
        <f t="shared" si="6"/>
        <v>0</v>
      </c>
      <c r="C185" s="442">
        <f t="shared" si="7"/>
        <v>0</v>
      </c>
      <c r="D185" s="442">
        <f t="shared" si="8"/>
        <v>0</v>
      </c>
    </row>
    <row r="186" spans="2:4" ht="15.75">
      <c r="B186" s="442">
        <f t="shared" si="6"/>
        <v>0</v>
      </c>
      <c r="C186" s="442">
        <f t="shared" si="7"/>
        <v>0</v>
      </c>
      <c r="D186" s="442">
        <f t="shared" si="8"/>
        <v>0</v>
      </c>
    </row>
    <row r="187" spans="2:4" ht="15.75">
      <c r="B187" s="442">
        <f t="shared" si="6"/>
        <v>0</v>
      </c>
      <c r="C187" s="442">
        <f t="shared" si="7"/>
        <v>0</v>
      </c>
      <c r="D187" s="442">
        <f t="shared" si="8"/>
        <v>0</v>
      </c>
    </row>
    <row r="188" spans="2:4" ht="15.75">
      <c r="B188" s="442">
        <f t="shared" si="6"/>
        <v>0</v>
      </c>
      <c r="C188" s="442">
        <f t="shared" si="7"/>
        <v>0</v>
      </c>
      <c r="D188" s="442">
        <f t="shared" si="8"/>
        <v>0</v>
      </c>
    </row>
    <row r="189" spans="2:4" ht="15.75">
      <c r="B189" s="442">
        <f t="shared" si="6"/>
        <v>0</v>
      </c>
      <c r="C189" s="442">
        <f t="shared" si="7"/>
        <v>0</v>
      </c>
      <c r="D189" s="442">
        <f t="shared" si="8"/>
        <v>0</v>
      </c>
    </row>
    <row r="190" spans="2:4" ht="15.75">
      <c r="B190" s="442">
        <f t="shared" si="6"/>
        <v>0</v>
      </c>
      <c r="C190" s="442">
        <f t="shared" si="7"/>
        <v>0</v>
      </c>
      <c r="D190" s="442">
        <f t="shared" si="8"/>
        <v>0</v>
      </c>
    </row>
    <row r="191" spans="2:4" ht="15.75">
      <c r="B191" s="442">
        <f t="shared" si="6"/>
        <v>0</v>
      </c>
      <c r="C191" s="442">
        <f t="shared" si="7"/>
        <v>0</v>
      </c>
      <c r="D191" s="442">
        <f t="shared" si="8"/>
        <v>0</v>
      </c>
    </row>
    <row r="192" spans="2:4" ht="15.75">
      <c r="B192" s="442">
        <f t="shared" si="6"/>
        <v>0</v>
      </c>
      <c r="C192" s="442">
        <f t="shared" si="7"/>
        <v>0</v>
      </c>
      <c r="D192" s="442">
        <f t="shared" si="8"/>
        <v>0</v>
      </c>
    </row>
    <row r="193" spans="2:4" ht="15.75">
      <c r="B193" s="442">
        <f t="shared" si="6"/>
        <v>0</v>
      </c>
      <c r="C193" s="442">
        <f t="shared" si="7"/>
        <v>0</v>
      </c>
      <c r="D193" s="442">
        <f t="shared" si="8"/>
        <v>0</v>
      </c>
    </row>
    <row r="194" spans="2:4" ht="15.75">
      <c r="B194" s="442">
        <f t="shared" si="6"/>
        <v>0</v>
      </c>
      <c r="C194" s="442">
        <f t="shared" si="7"/>
        <v>0</v>
      </c>
      <c r="D194" s="442">
        <f t="shared" si="8"/>
        <v>0</v>
      </c>
    </row>
    <row r="195" spans="2:4" ht="15.75">
      <c r="B195" s="442">
        <f t="shared" si="6"/>
        <v>0</v>
      </c>
      <c r="C195" s="442">
        <f t="shared" si="7"/>
        <v>0</v>
      </c>
      <c r="D195" s="442">
        <f t="shared" si="8"/>
        <v>0</v>
      </c>
    </row>
    <row r="196" spans="2:4" ht="15.75">
      <c r="B196" s="442">
        <f t="shared" si="6"/>
        <v>0</v>
      </c>
      <c r="C196" s="442">
        <f t="shared" si="7"/>
        <v>0</v>
      </c>
      <c r="D196" s="442">
        <f t="shared" si="8"/>
        <v>0</v>
      </c>
    </row>
    <row r="197" spans="2:4" ht="15.75">
      <c r="B197" s="442">
        <f t="shared" si="6"/>
        <v>0</v>
      </c>
      <c r="C197" s="442">
        <f t="shared" si="7"/>
        <v>0</v>
      </c>
      <c r="D197" s="442">
        <f t="shared" si="8"/>
        <v>0</v>
      </c>
    </row>
    <row r="198" spans="2:4" ht="15.75">
      <c r="B198" s="442">
        <f t="shared" si="6"/>
        <v>0</v>
      </c>
      <c r="C198" s="442">
        <f t="shared" si="7"/>
        <v>0</v>
      </c>
      <c r="D198" s="442">
        <f t="shared" si="8"/>
        <v>0</v>
      </c>
    </row>
  </sheetData>
  <sheetProtection password="FAAF" sheet="1" insertRows="0"/>
  <mergeCells count="2">
    <mergeCell ref="E2:L2"/>
    <mergeCell ref="E1:L1"/>
  </mergeCells>
  <dataValidations count="1">
    <dataValidation type="list" allowBlank="1" showInputMessage="1" showErrorMessage="1" prompt="Select the anticipated status of the building in Fy 2015 from the drop-down list." sqref="G6:G49">
      <formula1>Status2015</formula1>
    </dataValidation>
  </dataValidations>
  <printOptions horizontalCentered="1"/>
  <pageMargins left="0.75" right="0.5" top="0.5" bottom="0.5" header="0.5" footer="0.35"/>
  <pageSetup fitToHeight="1" fitToWidth="1" horizontalDpi="600" verticalDpi="600" orientation="landscape" scale="65" r:id="rId3"/>
  <headerFooter alignWithMargins="0">
    <oddFooter>&amp;L&amp;"Times New Roman,Regular"&amp;8&amp;F: &amp;A&amp;R&amp;"Times New Roman,Regular"&amp;8Page &amp;P of &amp;N</oddFooter>
  </headerFooter>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Q33"/>
  <sheetViews>
    <sheetView zoomScalePageLayoutView="0" workbookViewId="0" topLeftCell="F1">
      <selection activeCell="J22" sqref="J22"/>
    </sheetView>
  </sheetViews>
  <sheetFormatPr defaultColWidth="9.140625" defaultRowHeight="12.75"/>
  <cols>
    <col min="1" max="5" width="0" style="5" hidden="1" customWidth="1"/>
    <col min="6" max="6" width="38.57421875" style="5" customWidth="1"/>
    <col min="7" max="10" width="15.7109375" style="5" customWidth="1"/>
    <col min="11" max="11" width="21.00390625" style="5" customWidth="1"/>
    <col min="12" max="16384" width="9.140625" style="5" customWidth="1"/>
  </cols>
  <sheetData>
    <row r="1" spans="6:11" s="2" customFormat="1" ht="19.5" customHeight="1">
      <c r="F1" s="500" t="str">
        <f>"FY "&amp;TEXT(Lists!N3,"0000")&amp;" Energy Management Performance Summary"</f>
        <v>FY 2009 Energy Management Performance Summary</v>
      </c>
      <c r="G1" s="500"/>
      <c r="H1" s="500"/>
      <c r="I1" s="500"/>
      <c r="J1" s="500"/>
      <c r="K1" s="500"/>
    </row>
    <row r="2" spans="6:11" s="2" customFormat="1" ht="19.5" customHeight="1">
      <c r="F2" s="500" t="str">
        <f>Lists!N7</f>
        <v>Office of Legacy Management</v>
      </c>
      <c r="G2" s="500"/>
      <c r="H2" s="500"/>
      <c r="I2" s="500"/>
      <c r="J2" s="500"/>
      <c r="K2" s="500"/>
    </row>
    <row r="3" spans="6:7" ht="13.5" customHeight="1">
      <c r="F3" s="3"/>
      <c r="G3" s="4"/>
    </row>
    <row r="4" ht="19.5" customHeight="1">
      <c r="F4" s="19" t="s">
        <v>73</v>
      </c>
    </row>
    <row r="5" ht="13.5" customHeight="1">
      <c r="F5" s="4"/>
    </row>
    <row r="6" spans="1:11" ht="30" customHeight="1">
      <c r="A6" s="449"/>
      <c r="B6" s="449" t="str">
        <f>'9. Optional 2015 Projection'!C2</f>
        <v>Defult</v>
      </c>
      <c r="C6" s="449" t="str">
        <f>'9. Optional 2015 Projection'!D2</f>
        <v>Defult</v>
      </c>
      <c r="D6" s="449"/>
      <c r="E6" s="449"/>
      <c r="F6" s="71" t="s">
        <v>74</v>
      </c>
      <c r="G6" s="55" t="s">
        <v>70</v>
      </c>
      <c r="H6" s="55" t="str">
        <f>"FY "&amp;TEXT(Lists!N3,"0000")&amp;" Btu/GSF"</f>
        <v>FY 2009 Btu/GSF</v>
      </c>
      <c r="I6" s="55" t="str">
        <f>"Percent Change 2003 - "&amp;TEXT(Lists!N3,"0000")</f>
        <v>Percent Change 2003 - 2009</v>
      </c>
      <c r="J6" s="55" t="str">
        <f>"FY "&amp;TEXT(Lists!N3,"0000")&amp;" Goal Target"</f>
        <v>FY 2009 Goal Target</v>
      </c>
      <c r="K6" s="55" t="str">
        <f>"FY "&amp;TEXT(Lists!A15,"0000")&amp;" Goal Projection - "&amp;B6&amp;" Calculation"</f>
        <v>FY 2015 Goal Projection - Defult Calculation</v>
      </c>
    </row>
    <row r="7" spans="1:11" ht="30" customHeight="1">
      <c r="A7" s="449"/>
      <c r="B7" s="449" t="s">
        <v>189</v>
      </c>
      <c r="C7" s="449" t="s">
        <v>190</v>
      </c>
      <c r="D7" s="449" t="s">
        <v>580</v>
      </c>
      <c r="E7" s="449" t="s">
        <v>581</v>
      </c>
      <c r="F7" s="6" t="s">
        <v>69</v>
      </c>
      <c r="G7" s="7">
        <f>'2. 2009 Data Report'!C23/'2. 2009 Data Report'!C24*1000000</f>
        <v>257137.0232442714</v>
      </c>
      <c r="H7" s="7">
        <f>'2. 2009 Data Report'!G24</f>
        <v>231887.28136321876</v>
      </c>
      <c r="I7" s="8">
        <f>(H7-G7)/G7</f>
        <v>-0.09819566845131535</v>
      </c>
      <c r="J7" s="8">
        <f>VLOOKUP(Lists!N3,Lists!A3:F15,2,0)</f>
        <v>-0.12000000000000002</v>
      </c>
      <c r="K7" s="443">
        <f>((IF(B6="Optional",(((B8-B9-B10+B11)/(D8-D10+D11))*1000000),(((B8-B9)/D8))*1000000))-G7)/G7</f>
        <v>-0.05827792425077778</v>
      </c>
    </row>
    <row r="8" spans="1:5" ht="13.5" customHeight="1">
      <c r="A8" s="449" t="s">
        <v>578</v>
      </c>
      <c r="B8" s="450">
        <f>'2. 2009 Data Report'!G21*1000</f>
        <v>27938.000000000004</v>
      </c>
      <c r="C8" s="450">
        <f>'2. 2009 Data Report'!C50*1000</f>
        <v>525</v>
      </c>
      <c r="D8" s="450">
        <f>'2. 2009 Data Report'!C22*1000</f>
        <v>115374</v>
      </c>
      <c r="E8" s="450">
        <f>'2. 2009 Data Report'!C51*1000</f>
        <v>115374</v>
      </c>
    </row>
    <row r="9" spans="1:11" ht="45" customHeight="1">
      <c r="A9" s="449" t="s">
        <v>579</v>
      </c>
      <c r="B9" s="450">
        <f>'3. Conservation &amp; RE Measures'!H1</f>
        <v>0</v>
      </c>
      <c r="C9" s="450">
        <f>'3. Conservation &amp; RE Measures'!J1</f>
        <v>0</v>
      </c>
      <c r="D9" s="450"/>
      <c r="E9" s="450"/>
      <c r="F9" s="71" t="s">
        <v>75</v>
      </c>
      <c r="G9" s="55" t="s">
        <v>168</v>
      </c>
      <c r="H9" s="55" t="s">
        <v>169</v>
      </c>
      <c r="I9" s="71" t="s">
        <v>71</v>
      </c>
      <c r="J9" s="55" t="str">
        <f>"FY "&amp;TEXT(Lists!N3,"0000")&amp;" Goal Target"</f>
        <v>FY 2009 Goal Target</v>
      </c>
      <c r="K9" s="55" t="str">
        <f>"FY "&amp;TEXT(Lists!A10,"0000")&amp;" Goal Projection"</f>
        <v>FY 2010 Goal Projection</v>
      </c>
    </row>
    <row r="10" spans="1:11" ht="30" customHeight="1">
      <c r="A10" s="449" t="s">
        <v>576</v>
      </c>
      <c r="B10" s="450">
        <f>'9. Optional 2015 Projection'!C3</f>
        <v>0</v>
      </c>
      <c r="C10" s="450">
        <f>'9. Optional 2015 Projection'!D3</f>
        <v>0</v>
      </c>
      <c r="D10" s="450">
        <f>'9. Optional 2015 Projection'!B3</f>
        <v>0</v>
      </c>
      <c r="E10" s="450"/>
      <c r="F10" s="9" t="s">
        <v>77</v>
      </c>
      <c r="G10" s="10">
        <f>'2. 2009 Data Report'!C220</f>
        <v>249.26500000000007</v>
      </c>
      <c r="H10" s="10">
        <f>'2. 2009 Data Report'!D220</f>
        <v>8011.003</v>
      </c>
      <c r="I10" s="11">
        <f>G10/H10</f>
        <v>0.03111532975334051</v>
      </c>
      <c r="J10" s="11">
        <f>VLOOKUP(Lists!N3,Lists!A3:F15,4,0)</f>
        <v>0.03</v>
      </c>
      <c r="K10" s="444">
        <v>0.037</v>
      </c>
    </row>
    <row r="11" spans="1:5" ht="13.5" customHeight="1">
      <c r="A11" s="449" t="s">
        <v>577</v>
      </c>
      <c r="B11" s="450">
        <f>'9. Optional 2015 Projection'!C4</f>
        <v>0</v>
      </c>
      <c r="C11" s="450">
        <f>'9. Optional 2015 Projection'!D4</f>
        <v>0</v>
      </c>
      <c r="D11" s="450">
        <f>'9. Optional 2015 Projection'!B4</f>
        <v>0</v>
      </c>
      <c r="E11" s="450"/>
    </row>
    <row r="12" spans="6:17" ht="30" customHeight="1">
      <c r="F12" s="71" t="s">
        <v>76</v>
      </c>
      <c r="G12" s="55" t="s">
        <v>185</v>
      </c>
      <c r="H12" s="55" t="str">
        <f>"FY "&amp;TEXT(Lists!N3,"0000")&amp;" Gal/GSF"</f>
        <v>FY 2009 Gal/GSF</v>
      </c>
      <c r="I12" s="55" t="str">
        <f>"Percent Change 2007 - "&amp;TEXT(Lists!N3,"0000")</f>
        <v>Percent Change 2007 - 2009</v>
      </c>
      <c r="J12" s="55" t="str">
        <f>"FY "&amp;TEXT(Lists!N3,"0000")&amp;" Goal Target"</f>
        <v>FY 2009 Goal Target</v>
      </c>
      <c r="K12" s="55" t="str">
        <f>"FY "&amp;TEXT(Lists!A15,"0000")&amp;" Goal Projection - "&amp;C6&amp;" Calculation"</f>
        <v>FY 2015 Goal Projection - Defult Calculation</v>
      </c>
      <c r="P12" s="448"/>
      <c r="Q12" s="437"/>
    </row>
    <row r="13" spans="6:16" ht="30" customHeight="1">
      <c r="F13" s="12" t="s">
        <v>184</v>
      </c>
      <c r="G13" s="447">
        <f>'2. 2009 Data Report'!C74</f>
        <v>136.36363636363635</v>
      </c>
      <c r="H13" s="447">
        <f>'2. 2009 Data Report'!C52</f>
        <v>4.550418638514743</v>
      </c>
      <c r="I13" s="18">
        <f>(H13-G13)/G13</f>
        <v>-0.9666302633175585</v>
      </c>
      <c r="J13" s="13">
        <f>VLOOKUP(Lists!N3,Lists!A3:F15,3,0)</f>
        <v>-0.039999999999999994</v>
      </c>
      <c r="K13" s="13">
        <f>((IF(C6="Optional",(((C8-C9-C10+C11)/(E8-D10+D11))*1000),(((C8-C9)/E8))*1000))-G13)/G13</f>
        <v>-0.9666302633175585</v>
      </c>
      <c r="P13" s="437"/>
    </row>
    <row r="14" ht="13.5" customHeight="1"/>
    <row r="15" spans="6:10" ht="45" customHeight="1">
      <c r="F15" s="71" t="s">
        <v>116</v>
      </c>
      <c r="G15" s="55" t="s">
        <v>114</v>
      </c>
      <c r="H15" s="55" t="s">
        <v>115</v>
      </c>
      <c r="I15" s="55" t="s">
        <v>148</v>
      </c>
      <c r="J15" s="55" t="s">
        <v>117</v>
      </c>
    </row>
    <row r="16" spans="6:10" ht="30" customHeight="1">
      <c r="F16" s="281" t="str">
        <f>"Standard Electricity Meters in FY "&amp;TEXT(Lists!N3,"0000")</f>
        <v>Standard Electricity Meters in FY 2009</v>
      </c>
      <c r="G16" s="282">
        <f>'2. 2009 Data Report'!B256</f>
        <v>0</v>
      </c>
      <c r="H16" s="283">
        <f>'2. 2009 Data Report'!C256</f>
        <v>0</v>
      </c>
      <c r="I16" s="283">
        <f>'2. 2009 Data Report'!B256/'2. 2009 Data Report'!F256</f>
        <v>0</v>
      </c>
      <c r="J16" s="284">
        <v>1</v>
      </c>
    </row>
    <row r="17" spans="6:10" ht="30" customHeight="1">
      <c r="F17" s="281" t="str">
        <f>"Advanced Electricity Meters in FY "&amp;TEXT(Lists!N3,"0000")</f>
        <v>Advanced Electricity Meters in FY 2009</v>
      </c>
      <c r="G17" s="282">
        <f>'2. 2009 Data Report'!D256</f>
        <v>4</v>
      </c>
      <c r="H17" s="283">
        <f>'2. 2009 Data Report'!E256</f>
        <v>1</v>
      </c>
      <c r="I17" s="283">
        <f>'2. 2009 Data Report'!D256/'2. 2009 Data Report'!F256</f>
        <v>0.4</v>
      </c>
      <c r="J17" s="285" t="s">
        <v>118</v>
      </c>
    </row>
    <row r="18" spans="6:10" ht="30" customHeight="1">
      <c r="F18" s="281" t="str">
        <f>"Total Electricity Meters in FY "&amp;TEXT(Lists!N3,"0000")</f>
        <v>Total Electricity Meters in FY 2009</v>
      </c>
      <c r="G18" s="282">
        <f>SUM(G16:G17)</f>
        <v>4</v>
      </c>
      <c r="H18" s="283">
        <f>SUM(H16:H17)</f>
        <v>1</v>
      </c>
      <c r="I18" s="283">
        <f>SUM(I16:I17)</f>
        <v>0.4</v>
      </c>
      <c r="J18" s="1"/>
    </row>
    <row r="19" ht="13.5" customHeight="1">
      <c r="F19" s="4"/>
    </row>
    <row r="20" spans="6:8" ht="45" customHeight="1" hidden="1">
      <c r="F20" s="55" t="s">
        <v>131</v>
      </c>
      <c r="G20" s="102" t="s">
        <v>130</v>
      </c>
      <c r="H20" s="55" t="s">
        <v>1</v>
      </c>
    </row>
    <row r="21" spans="6:8" ht="54.75" customHeight="1" hidden="1">
      <c r="F21" s="166" t="s">
        <v>2</v>
      </c>
      <c r="G21" s="45" t="e">
        <f>'2. 2009 Data Report'!E290</f>
        <v>#DIV/0!</v>
      </c>
      <c r="H21" s="45">
        <v>1</v>
      </c>
    </row>
    <row r="22" ht="13.5" customHeight="1"/>
    <row r="23" s="2" customFormat="1" ht="19.5" customHeight="1">
      <c r="F23" s="19" t="s">
        <v>78</v>
      </c>
    </row>
    <row r="24" ht="13.5" customHeight="1"/>
    <row r="25" spans="6:8" ht="45" customHeight="1">
      <c r="F25" s="71" t="s">
        <v>84</v>
      </c>
      <c r="G25" s="98" t="s">
        <v>82</v>
      </c>
      <c r="H25" s="98" t="s">
        <v>186</v>
      </c>
    </row>
    <row r="26" spans="6:8" ht="30" customHeight="1">
      <c r="F26" s="279" t="s">
        <v>79</v>
      </c>
      <c r="G26" s="286">
        <f>'2. 2009 Data Report'!D231</f>
        <v>0</v>
      </c>
      <c r="H26" s="287">
        <f>'2. 2009 Data Report'!C231</f>
        <v>0</v>
      </c>
    </row>
    <row r="27" spans="6:8" ht="30" customHeight="1">
      <c r="F27" s="288" t="s">
        <v>80</v>
      </c>
      <c r="G27" s="286">
        <f>'2. 2009 Data Report'!D236</f>
        <v>0</v>
      </c>
      <c r="H27" s="287">
        <f>'2. 2009 Data Report'!C235</f>
        <v>0</v>
      </c>
    </row>
    <row r="28" spans="6:8" ht="30" customHeight="1">
      <c r="F28" s="279" t="s">
        <v>81</v>
      </c>
      <c r="G28" s="286">
        <f>'2. 2009 Data Report'!D245</f>
        <v>0</v>
      </c>
      <c r="H28" s="287">
        <f>'2. 2009 Data Report'!C244</f>
        <v>0</v>
      </c>
    </row>
    <row r="29" spans="6:8" ht="19.5" customHeight="1">
      <c r="F29" s="277" t="s">
        <v>83</v>
      </c>
      <c r="G29" s="278">
        <f>SUM(G26:G28)</f>
        <v>0</v>
      </c>
      <c r="H29" s="24">
        <f>SUM(H26:H28)</f>
        <v>0</v>
      </c>
    </row>
    <row r="30" spans="6:8" ht="13.5" customHeight="1">
      <c r="F30" s="14"/>
      <c r="G30" s="15"/>
      <c r="H30" s="16"/>
    </row>
    <row r="31" ht="19.5" customHeight="1">
      <c r="G31" s="71" t="s">
        <v>71</v>
      </c>
    </row>
    <row r="32" spans="6:7" ht="30" customHeight="1">
      <c r="F32" s="279" t="s">
        <v>247</v>
      </c>
      <c r="G32" s="289">
        <f>G29/('2. 2009 Data Report'!D21+'2. 2009 Data Report'!D38)</f>
        <v>0</v>
      </c>
    </row>
    <row r="33" spans="6:7" ht="30" customHeight="1">
      <c r="F33" s="279" t="s">
        <v>248</v>
      </c>
      <c r="G33" s="289">
        <f>(G27+G28)/('2. 2009 Data Report'!D21+'2. 2009 Data Report'!D38)</f>
        <v>0</v>
      </c>
    </row>
  </sheetData>
  <sheetProtection password="FAAF" sheet="1" objects="1" scenarios="1"/>
  <mergeCells count="2">
    <mergeCell ref="F1:K1"/>
    <mergeCell ref="F2:K2"/>
  </mergeCells>
  <printOptions horizontalCentered="1"/>
  <pageMargins left="0.75" right="0.75" top="0.75" bottom="0.75" header="0.5" footer="0.35"/>
  <pageSetup fitToHeight="1" fitToWidth="1" horizontalDpi="600" verticalDpi="600" orientation="portrait" scale="74" r:id="rId1"/>
  <headerFooter alignWithMargins="0">
    <oddFooter>&amp;L&amp;"Times New Roman,Regular"&amp;8&amp;F: &amp;A&amp;C&amp;D&amp;R&amp;"Times New Roman,Regular"&amp;8Page &amp;P of &amp;N</oddFooter>
  </headerFooter>
</worksheet>
</file>

<file path=xl/worksheets/sheet3.xml><?xml version="1.0" encoding="utf-8"?>
<worksheet xmlns="http://schemas.openxmlformats.org/spreadsheetml/2006/main" xmlns:r="http://schemas.openxmlformats.org/officeDocument/2006/relationships">
  <sheetPr>
    <tabColor indexed="50"/>
  </sheetPr>
  <dimension ref="A1:U294"/>
  <sheetViews>
    <sheetView tabSelected="1" zoomScaleSheetLayoutView="100" zoomScalePageLayoutView="0" workbookViewId="0" topLeftCell="A1">
      <selection activeCell="D4" sqref="D4"/>
    </sheetView>
  </sheetViews>
  <sheetFormatPr defaultColWidth="9.140625" defaultRowHeight="12.75"/>
  <cols>
    <col min="1" max="1" width="20.57421875" style="5" customWidth="1"/>
    <col min="2" max="2" width="17.7109375" style="5" customWidth="1"/>
    <col min="3" max="6" width="15.7109375" style="5" customWidth="1"/>
    <col min="7" max="8" width="16.7109375" style="5" customWidth="1"/>
    <col min="9" max="10" width="15.7109375" style="5" customWidth="1"/>
    <col min="11" max="12" width="13.7109375" style="5" customWidth="1"/>
    <col min="13" max="13" width="16.7109375" style="5" customWidth="1"/>
    <col min="14" max="16384" width="9.140625" style="5" customWidth="1"/>
  </cols>
  <sheetData>
    <row r="1" spans="1:9" ht="18" customHeight="1">
      <c r="A1" s="577" t="str">
        <f>Lists!N7&amp;" FY "&amp;TEXT(Lists!N3,"0000")&amp;" Energy Management Data Report"</f>
        <v>Office of Legacy Management FY 2009 Energy Management Data Report</v>
      </c>
      <c r="B1" s="577"/>
      <c r="C1" s="577"/>
      <c r="D1" s="577"/>
      <c r="E1" s="577"/>
      <c r="F1" s="577"/>
      <c r="G1" s="577"/>
      <c r="H1" s="577"/>
      <c r="I1" s="577"/>
    </row>
    <row r="2" spans="4:9" ht="13.5" customHeight="1">
      <c r="D2" s="46"/>
      <c r="I2" s="47"/>
    </row>
    <row r="3" spans="1:8" ht="18" customHeight="1">
      <c r="A3" s="4" t="s">
        <v>104</v>
      </c>
      <c r="B3" s="48" t="str">
        <f>Lists!N4</f>
        <v>Department of Energy</v>
      </c>
      <c r="C3" s="49"/>
      <c r="F3" s="4" t="s">
        <v>5</v>
      </c>
      <c r="G3" s="215" t="str">
        <f>Lists!N14</f>
        <v>Ribeiro, Tracy (Fed)</v>
      </c>
      <c r="H3" s="49"/>
    </row>
    <row r="4" spans="1:8" ht="18" customHeight="1">
      <c r="A4" s="4" t="s">
        <v>108</v>
      </c>
      <c r="B4" s="49" t="str">
        <f>Lists!N7</f>
        <v>Office of Legacy Management</v>
      </c>
      <c r="C4" s="49"/>
      <c r="F4" s="4" t="s">
        <v>4</v>
      </c>
      <c r="G4" s="216" t="s">
        <v>642</v>
      </c>
      <c r="H4" s="50"/>
    </row>
    <row r="5" spans="1:8" ht="18" customHeight="1">
      <c r="A5" s="4" t="s">
        <v>167</v>
      </c>
      <c r="B5" s="48">
        <f>Lists!N3</f>
        <v>2009</v>
      </c>
      <c r="C5" s="49"/>
      <c r="F5" s="4" t="s">
        <v>6</v>
      </c>
      <c r="G5" s="469">
        <v>40168</v>
      </c>
      <c r="H5" s="49"/>
    </row>
    <row r="6" spans="7:8" ht="13.5" customHeight="1">
      <c r="G6" s="51"/>
      <c r="H6" s="52"/>
    </row>
    <row r="7" spans="1:9" ht="18" customHeight="1">
      <c r="A7" s="19" t="s">
        <v>314</v>
      </c>
      <c r="B7" s="53"/>
      <c r="C7" s="53"/>
      <c r="D7" s="53"/>
      <c r="E7" s="53"/>
      <c r="F7" s="53"/>
      <c r="G7" s="53"/>
      <c r="H7" s="53"/>
      <c r="I7" s="54"/>
    </row>
    <row r="8" ht="13.5" customHeight="1"/>
    <row r="9" spans="1:9" ht="13.5" customHeight="1">
      <c r="A9" s="4" t="s">
        <v>319</v>
      </c>
      <c r="B9" s="52"/>
      <c r="C9" s="52"/>
      <c r="D9" s="52"/>
      <c r="E9" s="52"/>
      <c r="F9" s="52"/>
      <c r="G9" s="52"/>
      <c r="H9" s="52"/>
      <c r="I9" s="52"/>
    </row>
    <row r="10" spans="1:9" s="52" customFormat="1" ht="13.5" customHeight="1">
      <c r="A10" s="52" t="s">
        <v>352</v>
      </c>
      <c r="B10" s="49"/>
      <c r="C10" s="49"/>
      <c r="D10" s="49"/>
      <c r="E10" s="49"/>
      <c r="F10" s="49"/>
      <c r="G10" s="49"/>
      <c r="H10" s="49"/>
      <c r="I10" s="49"/>
    </row>
    <row r="11" spans="1:9" ht="39.75" customHeight="1">
      <c r="A11" s="55" t="s">
        <v>327</v>
      </c>
      <c r="B11" s="55" t="s">
        <v>17</v>
      </c>
      <c r="C11" s="55" t="s">
        <v>16</v>
      </c>
      <c r="D11" s="55" t="s">
        <v>488</v>
      </c>
      <c r="E11" s="578" t="s">
        <v>32</v>
      </c>
      <c r="F11" s="578"/>
      <c r="G11" s="55" t="s">
        <v>34</v>
      </c>
      <c r="H11" s="55" t="s">
        <v>35</v>
      </c>
      <c r="I11" s="55" t="s">
        <v>188</v>
      </c>
    </row>
    <row r="12" spans="1:9" ht="13.5" customHeight="1">
      <c r="A12" s="58" t="s">
        <v>7</v>
      </c>
      <c r="B12" s="58" t="s">
        <v>13</v>
      </c>
      <c r="C12" s="217">
        <v>7804.603</v>
      </c>
      <c r="D12" s="218">
        <v>611.065</v>
      </c>
      <c r="E12" s="148">
        <f>D12/C12</f>
        <v>0.07829546230602634</v>
      </c>
      <c r="F12" s="149" t="s">
        <v>27</v>
      </c>
      <c r="G12" s="20">
        <f>ROUND(C12*0.003412,3)</f>
        <v>26.629</v>
      </c>
      <c r="H12" s="20">
        <f>ROUND(C12*0.01185,3)</f>
        <v>92.485</v>
      </c>
      <c r="I12" s="20">
        <f>(G12-(SUM(J180:J183)))*189.7</f>
        <v>5051.5213</v>
      </c>
    </row>
    <row r="13" spans="1:9" ht="13.5" customHeight="1">
      <c r="A13" s="58" t="s">
        <v>8</v>
      </c>
      <c r="B13" s="58" t="s">
        <v>489</v>
      </c>
      <c r="C13" s="217">
        <v>0</v>
      </c>
      <c r="D13" s="218">
        <v>0</v>
      </c>
      <c r="E13" s="150" t="e">
        <f>D13/C13</f>
        <v>#DIV/0!</v>
      </c>
      <c r="F13" s="149" t="s">
        <v>187</v>
      </c>
      <c r="G13" s="20">
        <f>ROUND(C13*0.1387,3)</f>
        <v>0</v>
      </c>
      <c r="H13" s="20">
        <f>ROUND(C13*0.1387,3)</f>
        <v>0</v>
      </c>
      <c r="I13" s="20">
        <f>G13*73.35</f>
        <v>0</v>
      </c>
    </row>
    <row r="14" spans="1:9" ht="13.5" customHeight="1">
      <c r="A14" s="58" t="s">
        <v>9</v>
      </c>
      <c r="B14" s="58" t="s">
        <v>37</v>
      </c>
      <c r="C14" s="217">
        <v>412</v>
      </c>
      <c r="D14" s="218">
        <v>11.18375</v>
      </c>
      <c r="E14" s="148">
        <f>D14/C14*1000</f>
        <v>27.145024271844658</v>
      </c>
      <c r="F14" s="149" t="s">
        <v>29</v>
      </c>
      <c r="G14" s="20">
        <f>ROUND(C14*0.001031,3)</f>
        <v>0.425</v>
      </c>
      <c r="H14" s="20">
        <f>ROUND(C14*0.001031,3)</f>
        <v>0.425</v>
      </c>
      <c r="I14" s="20">
        <f>G14*53.15</f>
        <v>22.588749999999997</v>
      </c>
    </row>
    <row r="15" spans="1:9" ht="13.5" customHeight="1">
      <c r="A15" s="58" t="s">
        <v>10</v>
      </c>
      <c r="B15" s="58" t="s">
        <v>489</v>
      </c>
      <c r="C15" s="217">
        <v>1.887</v>
      </c>
      <c r="D15" s="218">
        <v>5.887</v>
      </c>
      <c r="E15" s="150">
        <f>D15/C15</f>
        <v>3.119766825649178</v>
      </c>
      <c r="F15" s="149" t="s">
        <v>187</v>
      </c>
      <c r="G15" s="20">
        <f>ROUND(C15*0.0955,3)</f>
        <v>0.18</v>
      </c>
      <c r="H15" s="20">
        <f>ROUND(C15*0.0955,3)</f>
        <v>0.18</v>
      </c>
      <c r="I15" s="20">
        <f>G15*62.33</f>
        <v>11.219399999999998</v>
      </c>
    </row>
    <row r="16" spans="1:9" ht="13.5" customHeight="1">
      <c r="A16" s="58" t="s">
        <v>26</v>
      </c>
      <c r="B16" s="58" t="s">
        <v>14</v>
      </c>
      <c r="C16" s="217">
        <v>0</v>
      </c>
      <c r="D16" s="218">
        <v>0</v>
      </c>
      <c r="E16" s="150" t="e">
        <f>D16/C16*1000</f>
        <v>#DIV/0!</v>
      </c>
      <c r="F16" s="149" t="s">
        <v>30</v>
      </c>
      <c r="G16" s="20">
        <f>ROUND(C16*0.02458,3)</f>
        <v>0</v>
      </c>
      <c r="H16" s="20">
        <f>ROUND(C16*0.02458,3)</f>
        <v>0</v>
      </c>
      <c r="I16" s="20">
        <f>G16*95.94</f>
        <v>0</v>
      </c>
    </row>
    <row r="17" spans="1:9" ht="13.5" customHeight="1">
      <c r="A17" s="58" t="s">
        <v>11</v>
      </c>
      <c r="B17" s="58" t="s">
        <v>15</v>
      </c>
      <c r="C17" s="217">
        <v>0</v>
      </c>
      <c r="D17" s="218">
        <v>0</v>
      </c>
      <c r="E17" s="150" t="e">
        <f>D17/C17</f>
        <v>#DIV/0!</v>
      </c>
      <c r="F17" s="149" t="s">
        <v>31</v>
      </c>
      <c r="G17" s="20">
        <f>ROUND(C17,3)</f>
        <v>0</v>
      </c>
      <c r="H17" s="20">
        <f>ROUND(C17*1.39,3)</f>
        <v>0</v>
      </c>
      <c r="I17" s="20">
        <f>G17*133.35</f>
        <v>0</v>
      </c>
    </row>
    <row r="18" spans="1:9" ht="13.5" customHeight="1">
      <c r="A18" s="58" t="s">
        <v>12</v>
      </c>
      <c r="B18" s="58" t="s">
        <v>15</v>
      </c>
      <c r="C18" s="217">
        <v>0</v>
      </c>
      <c r="D18" s="218">
        <v>0</v>
      </c>
      <c r="E18" s="150" t="e">
        <f>D18/C18</f>
        <v>#DIV/0!</v>
      </c>
      <c r="F18" s="149" t="s">
        <v>31</v>
      </c>
      <c r="G18" s="20">
        <f>ROUND(C18,3)</f>
        <v>0</v>
      </c>
      <c r="H18" s="20">
        <f>ROUND(C18,3)</f>
        <v>0</v>
      </c>
      <c r="I18" s="20"/>
    </row>
    <row r="19" spans="1:9" ht="13.5" customHeight="1">
      <c r="A19" s="58" t="s">
        <v>136</v>
      </c>
      <c r="B19" s="58" t="s">
        <v>13</v>
      </c>
      <c r="C19" s="121">
        <f>SUMIF($I$176:$I$179,"Short Goal",$D$176:$D$179)+SUMIF($I$176:$I$179,"Long Goal",$D$176:$D$179)</f>
        <v>206.4</v>
      </c>
      <c r="D19" s="464">
        <f>SUMIF($I$176:$I$179,"Short Goal",$E$176:$E$179)+SUMIF($I$176:$I$179,"Long Goal",$E$176:$E$179)</f>
        <v>3.4</v>
      </c>
      <c r="E19" s="150">
        <f>D19/C19</f>
        <v>0.01647286821705426</v>
      </c>
      <c r="F19" s="149" t="s">
        <v>27</v>
      </c>
      <c r="G19" s="20">
        <f>ROUND(C19*0.003412,3)</f>
        <v>0.704</v>
      </c>
      <c r="H19" s="20"/>
      <c r="I19" s="20"/>
    </row>
    <row r="20" spans="1:9" ht="13.5" customHeight="1">
      <c r="A20" s="58" t="s">
        <v>135</v>
      </c>
      <c r="B20" s="58" t="s">
        <v>15</v>
      </c>
      <c r="C20" s="121">
        <f>(SUMIF($I$184:$I$187,"Short Goal",$D$184:$D$187)+SUMIF($I$184:$I$187,"Long Goal",$D$184:$D$187))/1000</f>
        <v>0</v>
      </c>
      <c r="D20" s="464">
        <f>SUMIF($I$184:$I$187,"Short Goal",$E$184:$E$187)+SUMIF($I$184:$I$187,"Long Goal",$E$184:$E$187)</f>
        <v>0</v>
      </c>
      <c r="E20" s="150" t="e">
        <f>D20/C20</f>
        <v>#DIV/0!</v>
      </c>
      <c r="F20" s="151" t="s">
        <v>31</v>
      </c>
      <c r="G20" s="20">
        <f>ROUND(C20,3)</f>
        <v>0</v>
      </c>
      <c r="H20" s="20"/>
      <c r="I20" s="20"/>
    </row>
    <row r="21" spans="1:9" ht="13.5" customHeight="1">
      <c r="A21" s="59"/>
      <c r="B21" s="153"/>
      <c r="C21" s="154" t="s">
        <v>334</v>
      </c>
      <c r="D21" s="138">
        <f>SUM(D12:D20)</f>
        <v>631.53575</v>
      </c>
      <c r="E21" s="109"/>
      <c r="F21" s="154"/>
      <c r="G21" s="155">
        <f>SUM(G12:G20)</f>
        <v>27.938000000000002</v>
      </c>
      <c r="H21" s="155">
        <f>SUM(H12:H20)</f>
        <v>93.09</v>
      </c>
      <c r="I21" s="155">
        <f>SUM(I12:I20)</f>
        <v>5085.32945</v>
      </c>
    </row>
    <row r="22" spans="1:11" ht="27.75" customHeight="1">
      <c r="A22" s="569" t="str">
        <f>"FY "&amp;TEXT(Lists!N3,"0000")&amp;" Goal Subject Buildings 
Gross Square Feet (Thousands)"</f>
        <v>FY 2009 Goal Subject Buildings 
Gross Square Feet (Thousands)</v>
      </c>
      <c r="B22" s="569"/>
      <c r="C22" s="217">
        <f>115374/1000</f>
        <v>115.374</v>
      </c>
      <c r="E22" s="52"/>
      <c r="F22" s="142" t="s">
        <v>33</v>
      </c>
      <c r="G22" s="21">
        <f>G21/C22*1000000</f>
        <v>242151.61128157127</v>
      </c>
      <c r="H22" s="21">
        <f>H21/C22*1000000</f>
        <v>806854.2305892142</v>
      </c>
      <c r="I22" s="61"/>
      <c r="J22" s="62"/>
      <c r="K22" s="52"/>
    </row>
    <row r="23" spans="1:11" ht="27.75" customHeight="1">
      <c r="A23" s="568" t="s">
        <v>456</v>
      </c>
      <c r="B23" s="569"/>
      <c r="C23" s="217">
        <f>818561/1000</f>
        <v>818.561</v>
      </c>
      <c r="E23" s="52"/>
      <c r="F23" s="63" t="s">
        <v>49</v>
      </c>
      <c r="G23" s="21">
        <f>((G21-I191)/C22)*1000000</f>
        <v>236047.66411843227</v>
      </c>
      <c r="H23" s="22"/>
      <c r="I23" s="64"/>
      <c r="J23" s="65"/>
      <c r="K23" s="52"/>
    </row>
    <row r="24" spans="1:10" ht="27.75" customHeight="1">
      <c r="A24" s="568" t="s">
        <v>457</v>
      </c>
      <c r="B24" s="569"/>
      <c r="C24" s="217">
        <f>3183365/1000</f>
        <v>3183.365</v>
      </c>
      <c r="D24" s="52"/>
      <c r="F24" s="63" t="s">
        <v>68</v>
      </c>
      <c r="G24" s="21">
        <f>(G21-(I191+('4. Source Energy Savings Credit'!D12/1000)))/C22*1000000</f>
        <v>231887.28136321876</v>
      </c>
      <c r="H24" s="22"/>
      <c r="I24" s="64"/>
      <c r="J24" s="65"/>
    </row>
    <row r="25" ht="13.5" customHeight="1"/>
    <row r="26" ht="13.5" customHeight="1">
      <c r="A26" s="4" t="s">
        <v>320</v>
      </c>
    </row>
    <row r="27" spans="1:9" s="52" customFormat="1" ht="13.5" customHeight="1">
      <c r="A27" s="52" t="s">
        <v>353</v>
      </c>
      <c r="B27" s="49"/>
      <c r="C27" s="49"/>
      <c r="D27" s="49"/>
      <c r="E27" s="49"/>
      <c r="F27" s="49"/>
      <c r="G27" s="49"/>
      <c r="H27" s="49"/>
      <c r="I27" s="49"/>
    </row>
    <row r="28" spans="1:9" ht="39.75" customHeight="1">
      <c r="A28" s="55" t="s">
        <v>327</v>
      </c>
      <c r="B28" s="55" t="s">
        <v>17</v>
      </c>
      <c r="C28" s="55" t="s">
        <v>16</v>
      </c>
      <c r="D28" s="55" t="s">
        <v>488</v>
      </c>
      <c r="E28" s="578" t="s">
        <v>32</v>
      </c>
      <c r="F28" s="578"/>
      <c r="G28" s="55" t="s">
        <v>34</v>
      </c>
      <c r="H28" s="55" t="s">
        <v>35</v>
      </c>
      <c r="I28" s="55" t="s">
        <v>188</v>
      </c>
    </row>
    <row r="29" spans="1:9" ht="13.5" customHeight="1">
      <c r="A29" s="66" t="s">
        <v>7</v>
      </c>
      <c r="B29" s="66" t="s">
        <v>13</v>
      </c>
      <c r="C29" s="219">
        <v>0</v>
      </c>
      <c r="D29" s="220">
        <v>0</v>
      </c>
      <c r="E29" s="145" t="e">
        <f>D29/C29</f>
        <v>#DIV/0!</v>
      </c>
      <c r="F29" s="146" t="s">
        <v>27</v>
      </c>
      <c r="G29" s="10">
        <f>ROUND(C29*0.003412,3)</f>
        <v>0</v>
      </c>
      <c r="H29" s="10">
        <f>ROUND(C29*0.01185,3)</f>
        <v>0</v>
      </c>
      <c r="I29" s="10">
        <f>(G29-(SUM(K180:K183)))*189.7</f>
        <v>0</v>
      </c>
    </row>
    <row r="30" spans="1:9" ht="13.5" customHeight="1">
      <c r="A30" s="66" t="s">
        <v>8</v>
      </c>
      <c r="B30" s="66" t="s">
        <v>489</v>
      </c>
      <c r="C30" s="219">
        <v>0</v>
      </c>
      <c r="D30" s="220">
        <v>0</v>
      </c>
      <c r="E30" s="145" t="e">
        <f aca="true" t="shared" si="0" ref="E30:E35">D30/C30</f>
        <v>#DIV/0!</v>
      </c>
      <c r="F30" s="146" t="s">
        <v>28</v>
      </c>
      <c r="G30" s="10">
        <f>ROUND(C30*0.1387,3)</f>
        <v>0</v>
      </c>
      <c r="H30" s="10">
        <f>ROUND(C30*0.1387,3)</f>
        <v>0</v>
      </c>
      <c r="I30" s="10">
        <f>G30*73.35</f>
        <v>0</v>
      </c>
    </row>
    <row r="31" spans="1:9" ht="13.5" customHeight="1">
      <c r="A31" s="66" t="s">
        <v>9</v>
      </c>
      <c r="B31" s="66" t="s">
        <v>37</v>
      </c>
      <c r="C31" s="219">
        <v>0</v>
      </c>
      <c r="D31" s="220">
        <v>0</v>
      </c>
      <c r="E31" s="145" t="e">
        <f>D31/C31*1000</f>
        <v>#DIV/0!</v>
      </c>
      <c r="F31" s="146" t="s">
        <v>29</v>
      </c>
      <c r="G31" s="10">
        <f>ROUND(C31*0.001031,3)</f>
        <v>0</v>
      </c>
      <c r="H31" s="10">
        <f>ROUND(C31*0.001031,3)</f>
        <v>0</v>
      </c>
      <c r="I31" s="10">
        <f>G31*53.15</f>
        <v>0</v>
      </c>
    </row>
    <row r="32" spans="1:9" ht="13.5" customHeight="1">
      <c r="A32" s="66" t="s">
        <v>10</v>
      </c>
      <c r="B32" s="66" t="s">
        <v>489</v>
      </c>
      <c r="C32" s="219">
        <v>0</v>
      </c>
      <c r="D32" s="220">
        <v>0</v>
      </c>
      <c r="E32" s="145" t="e">
        <f t="shared" si="0"/>
        <v>#DIV/0!</v>
      </c>
      <c r="F32" s="146" t="s">
        <v>28</v>
      </c>
      <c r="G32" s="10">
        <f>ROUND(C32*0.0955,3)</f>
        <v>0</v>
      </c>
      <c r="H32" s="10">
        <f>ROUND(C32*0.0955,3)</f>
        <v>0</v>
      </c>
      <c r="I32" s="10">
        <f>G32*62.33</f>
        <v>0</v>
      </c>
    </row>
    <row r="33" spans="1:9" ht="13.5" customHeight="1">
      <c r="A33" s="66" t="s">
        <v>26</v>
      </c>
      <c r="B33" s="66" t="s">
        <v>14</v>
      </c>
      <c r="C33" s="219">
        <v>0</v>
      </c>
      <c r="D33" s="220">
        <v>0</v>
      </c>
      <c r="E33" s="145" t="e">
        <f>D33/C33*1000</f>
        <v>#DIV/0!</v>
      </c>
      <c r="F33" s="146" t="s">
        <v>30</v>
      </c>
      <c r="G33" s="10">
        <f>ROUND(C33*0.02458,3)</f>
        <v>0</v>
      </c>
      <c r="H33" s="10">
        <f>ROUND(C33*0.02458,3)</f>
        <v>0</v>
      </c>
      <c r="I33" s="10">
        <f>G33*95.94</f>
        <v>0</v>
      </c>
    </row>
    <row r="34" spans="1:9" ht="13.5" customHeight="1">
      <c r="A34" s="66" t="s">
        <v>11</v>
      </c>
      <c r="B34" s="66" t="s">
        <v>15</v>
      </c>
      <c r="C34" s="219">
        <v>0</v>
      </c>
      <c r="D34" s="220">
        <v>0</v>
      </c>
      <c r="E34" s="145" t="e">
        <f t="shared" si="0"/>
        <v>#DIV/0!</v>
      </c>
      <c r="F34" s="146" t="s">
        <v>31</v>
      </c>
      <c r="G34" s="10">
        <f>ROUND(C34,3)</f>
        <v>0</v>
      </c>
      <c r="H34" s="10">
        <f>ROUND(C34*1.39,3)</f>
        <v>0</v>
      </c>
      <c r="I34" s="10">
        <f>G34*133.35</f>
        <v>0</v>
      </c>
    </row>
    <row r="35" spans="1:9" ht="13.5" customHeight="1">
      <c r="A35" s="66" t="s">
        <v>12</v>
      </c>
      <c r="B35" s="66" t="s">
        <v>15</v>
      </c>
      <c r="C35" s="219">
        <v>0</v>
      </c>
      <c r="D35" s="220">
        <v>0</v>
      </c>
      <c r="E35" s="145" t="e">
        <f t="shared" si="0"/>
        <v>#DIV/0!</v>
      </c>
      <c r="F35" s="146" t="s">
        <v>31</v>
      </c>
      <c r="G35" s="10">
        <f>ROUND(C35,3)</f>
        <v>0</v>
      </c>
      <c r="H35" s="10">
        <f>ROUND(C35,3)</f>
        <v>0</v>
      </c>
      <c r="I35" s="10"/>
    </row>
    <row r="36" spans="1:9" ht="13.5" customHeight="1">
      <c r="A36" s="66" t="s">
        <v>136</v>
      </c>
      <c r="B36" s="66" t="s">
        <v>13</v>
      </c>
      <c r="C36" s="123">
        <f>SUMIF($I$176:$I$179,"Short Excluded",$D$176:$D$179)+SUMIF($I$176:$I$179,"Long Excluded",$D$176:$D$179)</f>
        <v>0</v>
      </c>
      <c r="D36" s="23">
        <f>SUMIF($I$176:$I$179,"Short Excluded",$E$176:$E$179)+SUMIF($I$176:$I$179,"Long Excluded",$E$176:$E$179)</f>
        <v>0</v>
      </c>
      <c r="E36" s="145" t="e">
        <f>D36/C36</f>
        <v>#DIV/0!</v>
      </c>
      <c r="F36" s="146" t="s">
        <v>27</v>
      </c>
      <c r="G36" s="10">
        <f>ROUND(C36*0.003412,3)</f>
        <v>0</v>
      </c>
      <c r="H36" s="10"/>
      <c r="I36" s="10"/>
    </row>
    <row r="37" spans="1:9" ht="13.5" customHeight="1">
      <c r="A37" s="66" t="s">
        <v>135</v>
      </c>
      <c r="B37" s="66" t="s">
        <v>15</v>
      </c>
      <c r="C37" s="123">
        <f>(SUMIF($I$184:$I$187,"Short Excluded",$D$184:$D$187)+SUMIF($I$184:$I$187,"Long Excluded",$D$184:$D$187))/1000</f>
        <v>0</v>
      </c>
      <c r="D37" s="23">
        <f>SUMIF($I$184:$I$187,"Short Excluded",$E$184:$E$187)+SUMIF($I$184:$I$187,"Long Excluded",$E$184:$E$187)</f>
        <v>0</v>
      </c>
      <c r="E37" s="145" t="e">
        <f>D37/C37*1000</f>
        <v>#DIV/0!</v>
      </c>
      <c r="F37" s="147" t="s">
        <v>31</v>
      </c>
      <c r="G37" s="10">
        <f>ROUND(C37,3)</f>
        <v>0</v>
      </c>
      <c r="H37" s="10"/>
      <c r="I37" s="10"/>
    </row>
    <row r="38" spans="1:9" ht="13.5" customHeight="1">
      <c r="A38" s="59"/>
      <c r="B38" s="60"/>
      <c r="C38" s="156" t="s">
        <v>334</v>
      </c>
      <c r="D38" s="138">
        <f>SUM(D29:D37)</f>
        <v>0</v>
      </c>
      <c r="E38" s="157"/>
      <c r="F38" s="156"/>
      <c r="G38" s="141">
        <f>SUM(G29:G37)</f>
        <v>0</v>
      </c>
      <c r="H38" s="141">
        <f>SUM(H29:H37)</f>
        <v>0</v>
      </c>
      <c r="I38" s="141">
        <f>SUM(I29:I37)</f>
        <v>0</v>
      </c>
    </row>
    <row r="39" spans="1:11" ht="27.75" customHeight="1">
      <c r="A39" s="570" t="str">
        <f>"FY "&amp;TEXT(Lists!N3,"0000")&amp;" Excluded Facilities 
Gross Square Feet (Thousands)"</f>
        <v>FY 2009 Excluded Facilities 
Gross Square Feet (Thousands)</v>
      </c>
      <c r="B39" s="570"/>
      <c r="C39" s="219">
        <v>0</v>
      </c>
      <c r="D39" s="69"/>
      <c r="E39" s="16"/>
      <c r="F39" s="145" t="s">
        <v>33</v>
      </c>
      <c r="G39" s="25" t="e">
        <f>G38/C39*1000000</f>
        <v>#DIV/0!</v>
      </c>
      <c r="H39" s="25" t="e">
        <f>H38/C39*1000000</f>
        <v>#DIV/0!</v>
      </c>
      <c r="I39" s="16"/>
      <c r="J39" s="62"/>
      <c r="K39" s="52"/>
    </row>
    <row r="40" spans="1:11" ht="27.75" customHeight="1">
      <c r="A40" s="579" t="s">
        <v>454</v>
      </c>
      <c r="B40" s="570"/>
      <c r="C40" s="219">
        <f>Lists!K15</f>
        <v>0</v>
      </c>
      <c r="D40" s="69"/>
      <c r="E40" s="16"/>
      <c r="F40" s="70" t="s">
        <v>49</v>
      </c>
      <c r="G40" s="25" t="e">
        <f>((G38-I196)/C39)*1000000</f>
        <v>#DIV/0!</v>
      </c>
      <c r="H40" s="26"/>
      <c r="I40" s="16"/>
      <c r="J40" s="62"/>
      <c r="K40" s="52"/>
    </row>
    <row r="41" spans="1:10" ht="27.75" customHeight="1">
      <c r="A41" s="579" t="s">
        <v>455</v>
      </c>
      <c r="B41" s="570"/>
      <c r="C41" s="219">
        <f>Lists!K14</f>
        <v>0</v>
      </c>
      <c r="D41" s="69"/>
      <c r="E41" s="69"/>
      <c r="F41" s="70" t="s">
        <v>68</v>
      </c>
      <c r="G41" s="25" t="e">
        <f>(G38-(I196+('4. Source Energy Savings Credit'!D20/1000)))/C39*1000000</f>
        <v>#DIV/0!</v>
      </c>
      <c r="H41" s="26"/>
      <c r="I41" s="16"/>
      <c r="J41" s="62"/>
    </row>
    <row r="42" ht="13.5" customHeight="1"/>
    <row r="43" ht="13.5" customHeight="1">
      <c r="A43" s="4" t="str">
        <f>"1-3a.  NECPA/E.O. 13423 Water Use and Cost for FY "&amp;TEXT(Lists!N3,"0000")</f>
        <v>1-3a.  NECPA/E.O. 13423 Water Use and Cost for FY 2009</v>
      </c>
    </row>
    <row r="44" spans="1:21" ht="13.5" customHeight="1">
      <c r="A44" s="5" t="s">
        <v>453</v>
      </c>
      <c r="R44" s="201"/>
      <c r="S44" s="201"/>
      <c r="T44" s="201"/>
      <c r="U44" s="201"/>
    </row>
    <row r="45" spans="1:21" ht="39.75" customHeight="1">
      <c r="A45" s="136" t="s">
        <v>323</v>
      </c>
      <c r="B45" s="55" t="s">
        <v>17</v>
      </c>
      <c r="C45" s="55" t="s">
        <v>16</v>
      </c>
      <c r="D45" s="55" t="s">
        <v>328</v>
      </c>
      <c r="E45" s="474" t="s">
        <v>32</v>
      </c>
      <c r="F45" s="475"/>
      <c r="G45" s="55" t="s">
        <v>153</v>
      </c>
      <c r="R45" s="62"/>
      <c r="S45" s="62"/>
      <c r="T45" s="201"/>
      <c r="U45" s="201"/>
    </row>
    <row r="46" spans="1:21" ht="27.75" customHeight="1">
      <c r="A46" s="135" t="s">
        <v>324</v>
      </c>
      <c r="B46" s="12" t="s">
        <v>490</v>
      </c>
      <c r="C46" s="221">
        <v>0.5</v>
      </c>
      <c r="D46" s="222">
        <v>25.4</v>
      </c>
      <c r="E46" s="143">
        <f>D46/C46</f>
        <v>50.8</v>
      </c>
      <c r="F46" s="144" t="s">
        <v>329</v>
      </c>
      <c r="G46" s="223">
        <v>0</v>
      </c>
      <c r="R46" s="62"/>
      <c r="S46" s="62"/>
      <c r="T46" s="201"/>
      <c r="U46" s="201"/>
    </row>
    <row r="47" spans="1:21" ht="27.75" customHeight="1">
      <c r="A47" s="135" t="s">
        <v>349</v>
      </c>
      <c r="B47" s="12" t="s">
        <v>490</v>
      </c>
      <c r="C47" s="221">
        <f>25000/1000000</f>
        <v>0.025</v>
      </c>
      <c r="D47" s="222">
        <v>0.3</v>
      </c>
      <c r="E47" s="143">
        <f>D47/C47</f>
        <v>11.999999999999998</v>
      </c>
      <c r="F47" s="144" t="s">
        <v>329</v>
      </c>
      <c r="G47" s="223">
        <v>0</v>
      </c>
      <c r="R47" s="62"/>
      <c r="S47" s="62"/>
      <c r="T47" s="201"/>
      <c r="U47" s="201"/>
    </row>
    <row r="48" spans="1:21" ht="27.75" customHeight="1">
      <c r="A48" s="135" t="s">
        <v>326</v>
      </c>
      <c r="B48" s="12" t="s">
        <v>490</v>
      </c>
      <c r="C48" s="221">
        <v>0</v>
      </c>
      <c r="D48" s="222">
        <v>0</v>
      </c>
      <c r="E48" s="143" t="e">
        <f>D48/C48</f>
        <v>#DIV/0!</v>
      </c>
      <c r="F48" s="144" t="s">
        <v>329</v>
      </c>
      <c r="G48" s="223">
        <v>0</v>
      </c>
      <c r="R48" s="201"/>
      <c r="S48" s="201"/>
      <c r="T48" s="201"/>
      <c r="U48" s="201"/>
    </row>
    <row r="49" spans="1:7" ht="27.75" customHeight="1">
      <c r="A49" s="135" t="s">
        <v>325</v>
      </c>
      <c r="B49" s="12" t="s">
        <v>490</v>
      </c>
      <c r="C49" s="221">
        <v>0</v>
      </c>
      <c r="D49" s="222">
        <v>0</v>
      </c>
      <c r="E49" s="143" t="e">
        <f>D49/C49</f>
        <v>#DIV/0!</v>
      </c>
      <c r="F49" s="144" t="s">
        <v>329</v>
      </c>
      <c r="G49" s="223"/>
    </row>
    <row r="50" spans="1:7" ht="13.5" customHeight="1">
      <c r="A50" s="59"/>
      <c r="B50" s="465" t="s">
        <v>616</v>
      </c>
      <c r="C50" s="349">
        <f>SUM(C46:C47)</f>
        <v>0.525</v>
      </c>
      <c r="D50" s="138">
        <f>SUM(D46:D47)</f>
        <v>25.7</v>
      </c>
      <c r="E50" s="68"/>
      <c r="F50" s="67" t="s">
        <v>333</v>
      </c>
      <c r="G50" s="152">
        <f>SUMPRODUCT(G46:G48,C46:C48)/C50</f>
        <v>0</v>
      </c>
    </row>
    <row r="51" spans="1:3" ht="27.75" customHeight="1">
      <c r="A51" s="580" t="str">
        <f>"FY "&amp;TEXT(Lists!N3,"0000")&amp;" Gross Square Feet (Thousands)"</f>
        <v>FY 2009 Gross Square Feet (Thousands)</v>
      </c>
      <c r="B51" s="581"/>
      <c r="C51" s="17">
        <f>SUM(C39,C22)</f>
        <v>115.374</v>
      </c>
    </row>
    <row r="52" spans="1:3" ht="27.75" customHeight="1">
      <c r="A52" s="580" t="str">
        <f>"FY "&amp;TEXT(Lists!N3,"0000")&amp;" Gal/GSF"</f>
        <v>FY 2009 Gal/GSF</v>
      </c>
      <c r="B52" s="581"/>
      <c r="C52" s="31">
        <f>C50/C51*1000</f>
        <v>4.550418638514743</v>
      </c>
    </row>
    <row r="53" ht="13.5" customHeight="1"/>
    <row r="54" ht="13.5" customHeight="1">
      <c r="A54" s="4" t="s">
        <v>492</v>
      </c>
    </row>
    <row r="55" ht="13.5" customHeight="1">
      <c r="A55" s="5" t="s">
        <v>453</v>
      </c>
    </row>
    <row r="56" spans="1:7" ht="39.75" customHeight="1">
      <c r="A56" s="136" t="s">
        <v>323</v>
      </c>
      <c r="B56" s="55" t="s">
        <v>17</v>
      </c>
      <c r="C56" s="55" t="s">
        <v>16</v>
      </c>
      <c r="D56" s="55" t="s">
        <v>328</v>
      </c>
      <c r="E56" s="474" t="s">
        <v>32</v>
      </c>
      <c r="F56" s="475"/>
      <c r="G56" s="55" t="s">
        <v>153</v>
      </c>
    </row>
    <row r="57" spans="1:7" ht="27.75" customHeight="1">
      <c r="A57" s="135" t="s">
        <v>324</v>
      </c>
      <c r="B57" s="12" t="s">
        <v>490</v>
      </c>
      <c r="C57" s="221">
        <v>1.07</v>
      </c>
      <c r="D57" s="222">
        <v>12.9</v>
      </c>
      <c r="E57" s="143">
        <f>D57/C57</f>
        <v>12.05607476635514</v>
      </c>
      <c r="F57" s="144" t="s">
        <v>329</v>
      </c>
      <c r="G57" s="223">
        <v>0</v>
      </c>
    </row>
    <row r="58" spans="1:7" ht="27.75" customHeight="1">
      <c r="A58" s="135" t="s">
        <v>349</v>
      </c>
      <c r="B58" s="12" t="s">
        <v>490</v>
      </c>
      <c r="C58" s="221">
        <v>0</v>
      </c>
      <c r="D58" s="222">
        <v>0</v>
      </c>
      <c r="E58" s="143" t="e">
        <f>D58/C58</f>
        <v>#DIV/0!</v>
      </c>
      <c r="F58" s="144" t="s">
        <v>329</v>
      </c>
      <c r="G58" s="223">
        <v>0</v>
      </c>
    </row>
    <row r="59" spans="1:7" ht="27.75" customHeight="1">
      <c r="A59" s="135" t="s">
        <v>326</v>
      </c>
      <c r="B59" s="12" t="s">
        <v>490</v>
      </c>
      <c r="C59" s="221">
        <v>0</v>
      </c>
      <c r="D59" s="222">
        <v>0</v>
      </c>
      <c r="E59" s="143" t="e">
        <f>D59/C59</f>
        <v>#DIV/0!</v>
      </c>
      <c r="F59" s="144" t="s">
        <v>329</v>
      </c>
      <c r="G59" s="223">
        <v>0</v>
      </c>
    </row>
    <row r="60" spans="1:7" ht="27.75" customHeight="1">
      <c r="A60" s="135" t="s">
        <v>325</v>
      </c>
      <c r="B60" s="12" t="s">
        <v>490</v>
      </c>
      <c r="C60" s="221">
        <v>0</v>
      </c>
      <c r="D60" s="222">
        <v>0</v>
      </c>
      <c r="E60" s="143" t="e">
        <f>D60/C60</f>
        <v>#DIV/0!</v>
      </c>
      <c r="F60" s="144" t="s">
        <v>329</v>
      </c>
      <c r="G60" s="223"/>
    </row>
    <row r="61" spans="1:7" ht="13.5" customHeight="1">
      <c r="A61" s="59"/>
      <c r="B61" s="465" t="s">
        <v>616</v>
      </c>
      <c r="C61" s="349">
        <f>SUM(C57:C58)</f>
        <v>1.07</v>
      </c>
      <c r="D61" s="138">
        <f>SUM(D57:D58)</f>
        <v>12.9</v>
      </c>
      <c r="E61" s="68"/>
      <c r="F61" s="67" t="s">
        <v>333</v>
      </c>
      <c r="G61" s="152">
        <f>SUMPRODUCT(G57:G59,C57:C59)/C61</f>
        <v>0</v>
      </c>
    </row>
    <row r="62" spans="1:3" ht="27.75" customHeight="1">
      <c r="A62" s="580" t="s">
        <v>330</v>
      </c>
      <c r="B62" s="581"/>
      <c r="C62" s="221">
        <v>11.7</v>
      </c>
    </row>
    <row r="63" spans="1:3" ht="27.75" customHeight="1">
      <c r="A63" s="580" t="s">
        <v>331</v>
      </c>
      <c r="B63" s="581"/>
      <c r="C63" s="31">
        <f>C61/C62*1000</f>
        <v>91.45299145299145</v>
      </c>
    </row>
    <row r="64" ht="13.5" customHeight="1"/>
    <row r="65" ht="13.5" customHeight="1">
      <c r="A65" s="4" t="s">
        <v>491</v>
      </c>
    </row>
    <row r="66" ht="13.5" customHeight="1">
      <c r="A66" s="5" t="s">
        <v>453</v>
      </c>
    </row>
    <row r="67" spans="1:7" ht="39.75" customHeight="1">
      <c r="A67" s="136" t="s">
        <v>323</v>
      </c>
      <c r="B67" s="55" t="s">
        <v>17</v>
      </c>
      <c r="C67" s="55" t="s">
        <v>16</v>
      </c>
      <c r="D67" s="55" t="s">
        <v>328</v>
      </c>
      <c r="E67" s="474" t="s">
        <v>32</v>
      </c>
      <c r="F67" s="475"/>
      <c r="G67" s="55" t="s">
        <v>153</v>
      </c>
    </row>
    <row r="68" spans="1:7" ht="27.75" customHeight="1">
      <c r="A68" s="135" t="s">
        <v>324</v>
      </c>
      <c r="B68" s="12" t="s">
        <v>490</v>
      </c>
      <c r="C68" s="221">
        <v>1.5</v>
      </c>
      <c r="D68" s="222">
        <v>7.2</v>
      </c>
      <c r="E68" s="143">
        <f>D68/C68</f>
        <v>4.8</v>
      </c>
      <c r="F68" s="144" t="s">
        <v>329</v>
      </c>
      <c r="G68" s="223">
        <v>0</v>
      </c>
    </row>
    <row r="69" spans="1:7" ht="27.75" customHeight="1">
      <c r="A69" s="135" t="s">
        <v>349</v>
      </c>
      <c r="B69" s="12" t="s">
        <v>490</v>
      </c>
      <c r="C69" s="221">
        <v>0</v>
      </c>
      <c r="D69" s="222">
        <v>0</v>
      </c>
      <c r="E69" s="143" t="e">
        <f>D69/C69</f>
        <v>#DIV/0!</v>
      </c>
      <c r="F69" s="144" t="s">
        <v>329</v>
      </c>
      <c r="G69" s="223">
        <v>0</v>
      </c>
    </row>
    <row r="70" spans="1:7" ht="27.75" customHeight="1">
      <c r="A70" s="135" t="s">
        <v>326</v>
      </c>
      <c r="B70" s="12" t="s">
        <v>490</v>
      </c>
      <c r="C70" s="221">
        <v>0</v>
      </c>
      <c r="D70" s="222">
        <v>0</v>
      </c>
      <c r="E70" s="143" t="e">
        <f>D70/C70</f>
        <v>#DIV/0!</v>
      </c>
      <c r="F70" s="144" t="s">
        <v>329</v>
      </c>
      <c r="G70" s="223">
        <v>0</v>
      </c>
    </row>
    <row r="71" spans="1:7" ht="27.75" customHeight="1">
      <c r="A71" s="135" t="s">
        <v>325</v>
      </c>
      <c r="B71" s="12" t="s">
        <v>490</v>
      </c>
      <c r="C71" s="221">
        <v>0</v>
      </c>
      <c r="D71" s="222">
        <v>0</v>
      </c>
      <c r="E71" s="143" t="e">
        <f>D71/C71</f>
        <v>#DIV/0!</v>
      </c>
      <c r="F71" s="144" t="s">
        <v>329</v>
      </c>
      <c r="G71" s="223"/>
    </row>
    <row r="72" spans="1:7" ht="13.5" customHeight="1">
      <c r="A72" s="59"/>
      <c r="B72" s="465" t="s">
        <v>616</v>
      </c>
      <c r="C72" s="349">
        <f>SUM(C68:C69)</f>
        <v>1.5</v>
      </c>
      <c r="D72" s="138">
        <f>SUM(D68:D69)</f>
        <v>7.2</v>
      </c>
      <c r="E72" s="68"/>
      <c r="F72" s="67" t="s">
        <v>333</v>
      </c>
      <c r="G72" s="152">
        <f>SUMPRODUCT(G68:G70,C68:C70)/C72</f>
        <v>0</v>
      </c>
    </row>
    <row r="73" spans="1:3" ht="27.75" customHeight="1">
      <c r="A73" s="580" t="s">
        <v>332</v>
      </c>
      <c r="B73" s="581"/>
      <c r="C73" s="221">
        <v>11</v>
      </c>
    </row>
    <row r="74" spans="1:3" ht="27.75" customHeight="1">
      <c r="A74" s="580" t="s">
        <v>185</v>
      </c>
      <c r="B74" s="581"/>
      <c r="C74" s="31">
        <f>C72/C73*1000</f>
        <v>136.36363636363635</v>
      </c>
    </row>
    <row r="75" spans="1:3" ht="27.75" customHeight="1">
      <c r="A75" s="591" t="s">
        <v>452</v>
      </c>
      <c r="B75" s="592"/>
      <c r="C75" s="232" t="s">
        <v>641</v>
      </c>
    </row>
    <row r="76" ht="13.5" customHeight="1"/>
    <row r="77" spans="1:9" ht="13.5" customHeight="1">
      <c r="A77" s="131" t="s">
        <v>351</v>
      </c>
      <c r="B77" s="52"/>
      <c r="C77" s="52"/>
      <c r="D77" s="52"/>
      <c r="E77" s="52"/>
      <c r="F77" s="52"/>
      <c r="G77" s="52"/>
      <c r="H77" s="52"/>
      <c r="I77" s="52"/>
    </row>
    <row r="78" spans="1:9" ht="13.5" customHeight="1">
      <c r="A78" s="52" t="s">
        <v>354</v>
      </c>
      <c r="B78" s="49"/>
      <c r="C78" s="49"/>
      <c r="D78" s="49"/>
      <c r="E78" s="52"/>
      <c r="F78" s="52"/>
      <c r="G78" s="49"/>
      <c r="H78" s="49"/>
      <c r="I78" s="52"/>
    </row>
    <row r="79" spans="1:9" ht="39.75" customHeight="1">
      <c r="A79" s="71" t="s">
        <v>152</v>
      </c>
      <c r="B79" s="56" t="s">
        <v>17</v>
      </c>
      <c r="C79" s="57" t="s">
        <v>16</v>
      </c>
      <c r="D79" s="56" t="s">
        <v>488</v>
      </c>
      <c r="E79" s="474" t="s">
        <v>32</v>
      </c>
      <c r="F79" s="475"/>
      <c r="G79" s="55" t="s">
        <v>15</v>
      </c>
      <c r="H79" s="55" t="s">
        <v>164</v>
      </c>
      <c r="I79" s="52"/>
    </row>
    <row r="80" spans="1:9" ht="13.5" customHeight="1">
      <c r="A80" s="265" t="s">
        <v>18</v>
      </c>
      <c r="B80" s="266" t="s">
        <v>489</v>
      </c>
      <c r="C80" s="267">
        <v>0</v>
      </c>
      <c r="D80" s="268">
        <v>0</v>
      </c>
      <c r="E80" s="269" t="e">
        <f aca="true" t="shared" si="1" ref="E80:E86">D80/C80</f>
        <v>#DIV/0!</v>
      </c>
      <c r="F80" s="270" t="s">
        <v>28</v>
      </c>
      <c r="G80" s="271">
        <f>ROUND(C80*0.125,3)</f>
        <v>0</v>
      </c>
      <c r="H80" s="271">
        <f>G80*70.88</f>
        <v>0</v>
      </c>
      <c r="I80" s="72"/>
    </row>
    <row r="81" spans="1:9" ht="13.5" customHeight="1">
      <c r="A81" s="265" t="s">
        <v>19</v>
      </c>
      <c r="B81" s="266" t="s">
        <v>489</v>
      </c>
      <c r="C81" s="267">
        <v>0</v>
      </c>
      <c r="D81" s="268">
        <v>0</v>
      </c>
      <c r="E81" s="269" t="e">
        <f t="shared" si="1"/>
        <v>#DIV/0!</v>
      </c>
      <c r="F81" s="270" t="s">
        <v>28</v>
      </c>
      <c r="G81" s="271">
        <f>ROUND(C81*0.1387,3)</f>
        <v>0</v>
      </c>
      <c r="H81" s="271">
        <f>G81*73.15</f>
        <v>0</v>
      </c>
      <c r="I81" s="72"/>
    </row>
    <row r="82" spans="1:9" ht="13.5" customHeight="1">
      <c r="A82" s="265" t="s">
        <v>20</v>
      </c>
      <c r="B82" s="266" t="s">
        <v>489</v>
      </c>
      <c r="C82" s="267">
        <v>0</v>
      </c>
      <c r="D82" s="268">
        <v>0</v>
      </c>
      <c r="E82" s="348" t="e">
        <f t="shared" si="1"/>
        <v>#DIV/0!</v>
      </c>
      <c r="F82" s="270" t="s">
        <v>28</v>
      </c>
      <c r="G82" s="271">
        <f>ROUND(C82*0.0955,3)</f>
        <v>0</v>
      </c>
      <c r="H82" s="271">
        <f>G82*62.33</f>
        <v>0</v>
      </c>
      <c r="I82" s="72"/>
    </row>
    <row r="83" spans="1:9" ht="13.5" customHeight="1">
      <c r="A83" s="265" t="s">
        <v>21</v>
      </c>
      <c r="B83" s="266" t="s">
        <v>489</v>
      </c>
      <c r="C83" s="267">
        <v>0</v>
      </c>
      <c r="D83" s="268">
        <v>0</v>
      </c>
      <c r="E83" s="348" t="e">
        <f t="shared" si="1"/>
        <v>#DIV/0!</v>
      </c>
      <c r="F83" s="270" t="s">
        <v>28</v>
      </c>
      <c r="G83" s="271">
        <f>ROUND(C83*0.125,3)</f>
        <v>0</v>
      </c>
      <c r="H83" s="271">
        <f>G83*69.19</f>
        <v>0</v>
      </c>
      <c r="I83" s="72"/>
    </row>
    <row r="84" spans="1:9" ht="13.5" customHeight="1">
      <c r="A84" s="265" t="s">
        <v>22</v>
      </c>
      <c r="B84" s="266" t="s">
        <v>489</v>
      </c>
      <c r="C84" s="267">
        <v>0</v>
      </c>
      <c r="D84" s="268">
        <v>0</v>
      </c>
      <c r="E84" s="348" t="e">
        <f t="shared" si="1"/>
        <v>#DIV/0!</v>
      </c>
      <c r="F84" s="270" t="s">
        <v>28</v>
      </c>
      <c r="G84" s="271">
        <f>ROUND(C84*0.13,3)</f>
        <v>0</v>
      </c>
      <c r="H84" s="271">
        <f>G84*70.88</f>
        <v>0</v>
      </c>
      <c r="I84" s="72"/>
    </row>
    <row r="85" spans="1:9" ht="13.5" customHeight="1">
      <c r="A85" s="265" t="s">
        <v>23</v>
      </c>
      <c r="B85" s="266" t="s">
        <v>489</v>
      </c>
      <c r="C85" s="267">
        <v>0</v>
      </c>
      <c r="D85" s="268">
        <v>0</v>
      </c>
      <c r="E85" s="348" t="e">
        <f t="shared" si="1"/>
        <v>#DIV/0!</v>
      </c>
      <c r="F85" s="270" t="s">
        <v>28</v>
      </c>
      <c r="G85" s="271">
        <f>ROUND(C85*0.1387,3)</f>
        <v>0</v>
      </c>
      <c r="H85" s="271">
        <f>G85*73.15</f>
        <v>0</v>
      </c>
      <c r="I85" s="72"/>
    </row>
    <row r="86" spans="1:9" ht="13.5" customHeight="1">
      <c r="A86" s="265" t="s">
        <v>24</v>
      </c>
      <c r="B86" s="265" t="s">
        <v>15</v>
      </c>
      <c r="C86" s="267">
        <v>0</v>
      </c>
      <c r="D86" s="268">
        <v>0</v>
      </c>
      <c r="E86" s="348" t="e">
        <f t="shared" si="1"/>
        <v>#DIV/0!</v>
      </c>
      <c r="F86" s="270" t="s">
        <v>31</v>
      </c>
      <c r="G86" s="271">
        <f>ROUND(C86,3)</f>
        <v>0</v>
      </c>
      <c r="H86" s="271"/>
      <c r="I86" s="72"/>
    </row>
    <row r="87" spans="3:8" ht="13.5" customHeight="1">
      <c r="C87" s="137" t="s">
        <v>38</v>
      </c>
      <c r="D87" s="138">
        <f>SUM(D80:D86)</f>
        <v>0</v>
      </c>
      <c r="E87" s="139"/>
      <c r="F87" s="140"/>
      <c r="G87" s="141">
        <f>SUM(G80:G86)</f>
        <v>0</v>
      </c>
      <c r="H87" s="141">
        <f>SUM(H80:H86)</f>
        <v>0</v>
      </c>
    </row>
    <row r="88" spans="3:8" ht="13.5" customHeight="1">
      <c r="C88" s="16"/>
      <c r="D88" s="16"/>
      <c r="E88" s="69"/>
      <c r="F88" s="69"/>
      <c r="G88" s="69"/>
      <c r="H88" s="69"/>
    </row>
    <row r="89" spans="1:8" ht="13.5" customHeight="1" hidden="1">
      <c r="A89" s="73" t="s">
        <v>316</v>
      </c>
      <c r="C89" s="69"/>
      <c r="D89" s="69"/>
      <c r="E89" s="69"/>
      <c r="F89" s="69"/>
      <c r="G89" s="69"/>
      <c r="H89" s="69"/>
    </row>
    <row r="90" spans="1:8" ht="13.5" customHeight="1" hidden="1">
      <c r="A90" s="52" t="s">
        <v>355</v>
      </c>
      <c r="C90" s="69"/>
      <c r="D90" s="69"/>
      <c r="E90" s="69"/>
      <c r="F90" s="69"/>
      <c r="G90" s="69"/>
      <c r="H90" s="69"/>
    </row>
    <row r="91" spans="1:8" ht="25.5" hidden="1">
      <c r="A91" s="55" t="s">
        <v>152</v>
      </c>
      <c r="B91" s="55" t="s">
        <v>17</v>
      </c>
      <c r="C91" s="74" t="s">
        <v>16</v>
      </c>
      <c r="D91" s="74" t="s">
        <v>123</v>
      </c>
      <c r="E91" s="74" t="s">
        <v>15</v>
      </c>
      <c r="F91" s="69"/>
      <c r="G91" s="69"/>
      <c r="H91" s="69"/>
    </row>
    <row r="92" spans="1:8" ht="13.5" customHeight="1" hidden="1">
      <c r="A92" s="265" t="s">
        <v>124</v>
      </c>
      <c r="B92" s="265" t="s">
        <v>122</v>
      </c>
      <c r="C92" s="272">
        <v>0</v>
      </c>
      <c r="D92" s="273">
        <v>0</v>
      </c>
      <c r="E92" s="353">
        <f aca="true" t="shared" si="2" ref="E92:E101">ROUND((C92/1000)*0.125,3)</f>
        <v>0</v>
      </c>
      <c r="F92" s="69"/>
      <c r="G92" s="69"/>
      <c r="H92" s="69"/>
    </row>
    <row r="93" spans="1:8" ht="13.5" customHeight="1" hidden="1">
      <c r="A93" s="265" t="s">
        <v>125</v>
      </c>
      <c r="B93" s="265" t="s">
        <v>122</v>
      </c>
      <c r="C93" s="272">
        <v>0</v>
      </c>
      <c r="D93" s="273">
        <v>0</v>
      </c>
      <c r="E93" s="353">
        <f t="shared" si="2"/>
        <v>0</v>
      </c>
      <c r="F93" s="69"/>
      <c r="G93" s="69"/>
      <c r="H93" s="69"/>
    </row>
    <row r="94" spans="1:8" ht="13.5" customHeight="1" hidden="1">
      <c r="A94" s="265" t="s">
        <v>126</v>
      </c>
      <c r="B94" s="265" t="s">
        <v>122</v>
      </c>
      <c r="C94" s="272">
        <v>0</v>
      </c>
      <c r="D94" s="273">
        <v>0</v>
      </c>
      <c r="E94" s="353">
        <f t="shared" si="2"/>
        <v>0</v>
      </c>
      <c r="F94" s="69"/>
      <c r="G94" s="69"/>
      <c r="H94" s="69"/>
    </row>
    <row r="95" spans="1:8" ht="13.5" customHeight="1" hidden="1">
      <c r="A95" s="265" t="s">
        <v>119</v>
      </c>
      <c r="B95" s="265" t="s">
        <v>122</v>
      </c>
      <c r="C95" s="272">
        <v>0</v>
      </c>
      <c r="D95" s="273">
        <v>0</v>
      </c>
      <c r="E95" s="353">
        <f t="shared" si="2"/>
        <v>0</v>
      </c>
      <c r="F95" s="69"/>
      <c r="G95" s="69"/>
      <c r="H95" s="69"/>
    </row>
    <row r="96" spans="1:8" ht="13.5" customHeight="1" hidden="1">
      <c r="A96" s="265" t="s">
        <v>127</v>
      </c>
      <c r="B96" s="265" t="s">
        <v>122</v>
      </c>
      <c r="C96" s="272">
        <v>0</v>
      </c>
      <c r="D96" s="273">
        <v>0</v>
      </c>
      <c r="E96" s="353">
        <f t="shared" si="2"/>
        <v>0</v>
      </c>
      <c r="F96" s="69"/>
      <c r="G96" s="69"/>
      <c r="H96" s="69"/>
    </row>
    <row r="97" spans="1:8" ht="13.5" customHeight="1" hidden="1">
      <c r="A97" s="265" t="s">
        <v>155</v>
      </c>
      <c r="B97" s="265" t="s">
        <v>122</v>
      </c>
      <c r="C97" s="272">
        <v>0</v>
      </c>
      <c r="D97" s="273">
        <v>0</v>
      </c>
      <c r="E97" s="353">
        <f t="shared" si="2"/>
        <v>0</v>
      </c>
      <c r="F97" s="69"/>
      <c r="G97" s="69"/>
      <c r="H97" s="69"/>
    </row>
    <row r="98" spans="1:8" ht="13.5" customHeight="1" hidden="1">
      <c r="A98" s="265" t="s">
        <v>120</v>
      </c>
      <c r="B98" s="265" t="s">
        <v>122</v>
      </c>
      <c r="C98" s="272">
        <v>0</v>
      </c>
      <c r="D98" s="273">
        <v>0</v>
      </c>
      <c r="E98" s="353">
        <f t="shared" si="2"/>
        <v>0</v>
      </c>
      <c r="F98" s="69"/>
      <c r="G98" s="69"/>
      <c r="H98" s="69"/>
    </row>
    <row r="99" spans="1:8" ht="13.5" customHeight="1" hidden="1">
      <c r="A99" s="265" t="s">
        <v>121</v>
      </c>
      <c r="B99" s="265" t="s">
        <v>122</v>
      </c>
      <c r="C99" s="272">
        <v>0</v>
      </c>
      <c r="D99" s="273">
        <v>0</v>
      </c>
      <c r="E99" s="353">
        <f t="shared" si="2"/>
        <v>0</v>
      </c>
      <c r="F99" s="69"/>
      <c r="G99" s="69"/>
      <c r="H99" s="69"/>
    </row>
    <row r="100" spans="1:8" ht="13.5" customHeight="1" hidden="1">
      <c r="A100" s="265" t="s">
        <v>156</v>
      </c>
      <c r="B100" s="265" t="s">
        <v>122</v>
      </c>
      <c r="C100" s="272">
        <v>0</v>
      </c>
      <c r="D100" s="273">
        <v>0</v>
      </c>
      <c r="E100" s="353">
        <f t="shared" si="2"/>
        <v>0</v>
      </c>
      <c r="F100" s="69"/>
      <c r="G100" s="69"/>
      <c r="H100" s="69"/>
    </row>
    <row r="101" spans="1:8" ht="13.5" customHeight="1" hidden="1">
      <c r="A101" s="265" t="s">
        <v>12</v>
      </c>
      <c r="B101" s="265" t="s">
        <v>122</v>
      </c>
      <c r="C101" s="272">
        <v>0</v>
      </c>
      <c r="D101" s="273">
        <v>0</v>
      </c>
      <c r="E101" s="353">
        <f t="shared" si="2"/>
        <v>0</v>
      </c>
      <c r="F101" s="69"/>
      <c r="G101" s="69"/>
      <c r="H101" s="69"/>
    </row>
    <row r="102" spans="1:8" ht="13.5" customHeight="1" hidden="1">
      <c r="A102" s="332" t="s">
        <v>83</v>
      </c>
      <c r="B102" s="332" t="s">
        <v>122</v>
      </c>
      <c r="C102" s="349">
        <f>SUM(C92:C101)</f>
        <v>0</v>
      </c>
      <c r="D102" s="138">
        <f>SUM(D92:D101)</f>
        <v>0</v>
      </c>
      <c r="E102" s="349">
        <f>SUM(E92:E101)</f>
        <v>0</v>
      </c>
      <c r="F102" s="69"/>
      <c r="G102" s="69"/>
      <c r="H102" s="69"/>
    </row>
    <row r="103" spans="3:8" ht="13.5" customHeight="1" hidden="1">
      <c r="C103" s="16"/>
      <c r="D103" s="16"/>
      <c r="E103" s="69"/>
      <c r="F103" s="69"/>
      <c r="G103" s="69"/>
      <c r="H103" s="69"/>
    </row>
    <row r="104" spans="1:8" ht="13.5" customHeight="1" hidden="1">
      <c r="A104" s="73" t="s">
        <v>321</v>
      </c>
      <c r="C104" s="69"/>
      <c r="D104" s="69"/>
      <c r="E104" s="69"/>
      <c r="F104" s="69"/>
      <c r="G104" s="69"/>
      <c r="H104" s="69"/>
    </row>
    <row r="105" spans="1:9" ht="13.5" customHeight="1" hidden="1">
      <c r="A105" s="52" t="s">
        <v>356</v>
      </c>
      <c r="B105" s="75"/>
      <c r="C105" s="75"/>
      <c r="D105" s="75"/>
      <c r="E105" s="75"/>
      <c r="F105" s="75"/>
      <c r="G105" s="75"/>
      <c r="H105" s="75"/>
      <c r="I105" s="75"/>
    </row>
    <row r="106" spans="1:9" ht="12.75" customHeight="1" hidden="1">
      <c r="A106" s="571" t="s">
        <v>128</v>
      </c>
      <c r="B106" s="571" t="s">
        <v>157</v>
      </c>
      <c r="C106" s="552" t="s">
        <v>158</v>
      </c>
      <c r="D106" s="552" t="s">
        <v>159</v>
      </c>
      <c r="E106" s="575" t="s">
        <v>160</v>
      </c>
      <c r="F106" s="575"/>
      <c r="G106" s="575"/>
      <c r="H106" s="575"/>
      <c r="I106" s="552" t="s">
        <v>83</v>
      </c>
    </row>
    <row r="107" spans="1:9" ht="12.75" customHeight="1" hidden="1">
      <c r="A107" s="572"/>
      <c r="B107" s="572"/>
      <c r="C107" s="553"/>
      <c r="D107" s="553"/>
      <c r="E107" s="575" t="s">
        <v>357</v>
      </c>
      <c r="F107" s="575"/>
      <c r="G107" s="552" t="s">
        <v>161</v>
      </c>
      <c r="H107" s="552" t="s">
        <v>358</v>
      </c>
      <c r="I107" s="553"/>
    </row>
    <row r="108" spans="1:9" ht="12.75" customHeight="1" hidden="1">
      <c r="A108" s="573"/>
      <c r="B108" s="573"/>
      <c r="C108" s="554"/>
      <c r="D108" s="554"/>
      <c r="E108" s="76" t="s">
        <v>162</v>
      </c>
      <c r="F108" s="76" t="s">
        <v>163</v>
      </c>
      <c r="G108" s="554"/>
      <c r="H108" s="554"/>
      <c r="I108" s="554"/>
    </row>
    <row r="109" spans="1:9" ht="13.5" customHeight="1" hidden="1">
      <c r="A109" s="274" t="s">
        <v>124</v>
      </c>
      <c r="B109" s="275">
        <v>0</v>
      </c>
      <c r="C109" s="275">
        <v>0</v>
      </c>
      <c r="D109" s="275">
        <v>0</v>
      </c>
      <c r="E109" s="275">
        <v>0</v>
      </c>
      <c r="F109" s="275">
        <v>0</v>
      </c>
      <c r="G109" s="275">
        <v>0</v>
      </c>
      <c r="H109" s="275">
        <v>0</v>
      </c>
      <c r="I109" s="276">
        <f aca="true" t="shared" si="3" ref="I109:I118">SUM(B109:H109)</f>
        <v>0</v>
      </c>
    </row>
    <row r="110" spans="1:9" ht="13.5" customHeight="1" hidden="1">
      <c r="A110" s="265" t="s">
        <v>125</v>
      </c>
      <c r="B110" s="275">
        <v>0</v>
      </c>
      <c r="C110" s="275">
        <v>0</v>
      </c>
      <c r="D110" s="275">
        <v>0</v>
      </c>
      <c r="E110" s="275">
        <v>0</v>
      </c>
      <c r="F110" s="275">
        <v>0</v>
      </c>
      <c r="G110" s="275">
        <v>0</v>
      </c>
      <c r="H110" s="275">
        <v>0</v>
      </c>
      <c r="I110" s="276">
        <f t="shared" si="3"/>
        <v>0</v>
      </c>
    </row>
    <row r="111" spans="1:9" ht="13.5" customHeight="1" hidden="1">
      <c r="A111" s="265" t="s">
        <v>126</v>
      </c>
      <c r="B111" s="275">
        <v>0</v>
      </c>
      <c r="C111" s="275">
        <v>0</v>
      </c>
      <c r="D111" s="275">
        <v>0</v>
      </c>
      <c r="E111" s="275">
        <v>0</v>
      </c>
      <c r="F111" s="275">
        <v>0</v>
      </c>
      <c r="G111" s="275">
        <v>0</v>
      </c>
      <c r="H111" s="275">
        <v>0</v>
      </c>
      <c r="I111" s="276">
        <f t="shared" si="3"/>
        <v>0</v>
      </c>
    </row>
    <row r="112" spans="1:9" ht="13.5" customHeight="1" hidden="1">
      <c r="A112" s="265" t="s">
        <v>119</v>
      </c>
      <c r="B112" s="275">
        <v>0</v>
      </c>
      <c r="C112" s="275">
        <v>0</v>
      </c>
      <c r="D112" s="275">
        <v>0</v>
      </c>
      <c r="E112" s="275">
        <v>0</v>
      </c>
      <c r="F112" s="275">
        <v>0</v>
      </c>
      <c r="G112" s="275">
        <v>0</v>
      </c>
      <c r="H112" s="275">
        <v>0</v>
      </c>
      <c r="I112" s="276">
        <f t="shared" si="3"/>
        <v>0</v>
      </c>
    </row>
    <row r="113" spans="1:9" ht="13.5" customHeight="1" hidden="1">
      <c r="A113" s="265" t="s">
        <v>127</v>
      </c>
      <c r="B113" s="275">
        <v>0</v>
      </c>
      <c r="C113" s="275">
        <v>0</v>
      </c>
      <c r="D113" s="275">
        <v>0</v>
      </c>
      <c r="E113" s="275">
        <v>0</v>
      </c>
      <c r="F113" s="275">
        <v>0</v>
      </c>
      <c r="G113" s="275">
        <v>0</v>
      </c>
      <c r="H113" s="275">
        <v>0</v>
      </c>
      <c r="I113" s="276">
        <f t="shared" si="3"/>
        <v>0</v>
      </c>
    </row>
    <row r="114" spans="1:9" ht="13.5" customHeight="1" hidden="1">
      <c r="A114" s="265" t="s">
        <v>155</v>
      </c>
      <c r="B114" s="275">
        <v>0</v>
      </c>
      <c r="C114" s="275">
        <v>0</v>
      </c>
      <c r="D114" s="275">
        <v>0</v>
      </c>
      <c r="E114" s="275">
        <v>0</v>
      </c>
      <c r="F114" s="275">
        <v>0</v>
      </c>
      <c r="G114" s="275">
        <v>0</v>
      </c>
      <c r="H114" s="275">
        <v>0</v>
      </c>
      <c r="I114" s="276">
        <f t="shared" si="3"/>
        <v>0</v>
      </c>
    </row>
    <row r="115" spans="1:9" ht="13.5" customHeight="1" hidden="1">
      <c r="A115" s="265" t="s">
        <v>120</v>
      </c>
      <c r="B115" s="272">
        <v>0</v>
      </c>
      <c r="C115" s="272">
        <v>0</v>
      </c>
      <c r="D115" s="272">
        <v>0</v>
      </c>
      <c r="E115" s="272">
        <v>0</v>
      </c>
      <c r="F115" s="272">
        <v>0</v>
      </c>
      <c r="G115" s="272">
        <v>0</v>
      </c>
      <c r="H115" s="272">
        <v>0</v>
      </c>
      <c r="I115" s="276">
        <f t="shared" si="3"/>
        <v>0</v>
      </c>
    </row>
    <row r="116" spans="1:9" ht="13.5" customHeight="1" hidden="1">
      <c r="A116" s="265" t="s">
        <v>121</v>
      </c>
      <c r="B116" s="272">
        <v>0</v>
      </c>
      <c r="C116" s="272">
        <v>0</v>
      </c>
      <c r="D116" s="272">
        <v>0</v>
      </c>
      <c r="E116" s="272">
        <v>0</v>
      </c>
      <c r="F116" s="272">
        <v>0</v>
      </c>
      <c r="G116" s="272">
        <v>0</v>
      </c>
      <c r="H116" s="272">
        <v>0</v>
      </c>
      <c r="I116" s="276">
        <f t="shared" si="3"/>
        <v>0</v>
      </c>
    </row>
    <row r="117" spans="1:9" ht="13.5" customHeight="1" hidden="1">
      <c r="A117" s="265" t="s">
        <v>156</v>
      </c>
      <c r="B117" s="272">
        <v>0</v>
      </c>
      <c r="C117" s="272">
        <v>0</v>
      </c>
      <c r="D117" s="272">
        <v>0</v>
      </c>
      <c r="E117" s="272">
        <v>0</v>
      </c>
      <c r="F117" s="272">
        <v>0</v>
      </c>
      <c r="G117" s="272">
        <v>0</v>
      </c>
      <c r="H117" s="272">
        <v>0</v>
      </c>
      <c r="I117" s="276">
        <f t="shared" si="3"/>
        <v>0</v>
      </c>
    </row>
    <row r="118" spans="1:9" ht="13.5" customHeight="1" hidden="1">
      <c r="A118" s="265" t="s">
        <v>12</v>
      </c>
      <c r="B118" s="272">
        <v>0</v>
      </c>
      <c r="C118" s="272">
        <v>0</v>
      </c>
      <c r="D118" s="272">
        <v>0</v>
      </c>
      <c r="E118" s="272">
        <v>0</v>
      </c>
      <c r="F118" s="272">
        <v>0</v>
      </c>
      <c r="G118" s="272">
        <v>0</v>
      </c>
      <c r="H118" s="272">
        <v>0</v>
      </c>
      <c r="I118" s="276">
        <f t="shared" si="3"/>
        <v>0</v>
      </c>
    </row>
    <row r="119" spans="1:9" ht="13.5" customHeight="1" hidden="1">
      <c r="A119" s="332" t="s">
        <v>83</v>
      </c>
      <c r="B119" s="349">
        <f aca="true" t="shared" si="4" ref="B119:I119">SUM(B109:B118)</f>
        <v>0</v>
      </c>
      <c r="C119" s="349">
        <f t="shared" si="4"/>
        <v>0</v>
      </c>
      <c r="D119" s="349">
        <f t="shared" si="4"/>
        <v>0</v>
      </c>
      <c r="E119" s="349">
        <f t="shared" si="4"/>
        <v>0</v>
      </c>
      <c r="F119" s="349">
        <f t="shared" si="4"/>
        <v>0</v>
      </c>
      <c r="G119" s="349">
        <f t="shared" si="4"/>
        <v>0</v>
      </c>
      <c r="H119" s="349">
        <f t="shared" si="4"/>
        <v>0</v>
      </c>
      <c r="I119" s="349">
        <f t="shared" si="4"/>
        <v>0</v>
      </c>
    </row>
    <row r="120" spans="3:4" ht="13.5" customHeight="1" hidden="1">
      <c r="C120" s="52"/>
      <c r="D120" s="52"/>
    </row>
    <row r="121" spans="1:8" ht="13.5" customHeight="1" hidden="1">
      <c r="A121" s="73" t="s">
        <v>322</v>
      </c>
      <c r="C121" s="69"/>
      <c r="D121" s="69"/>
      <c r="E121" s="69"/>
      <c r="F121" s="69"/>
      <c r="G121" s="69"/>
      <c r="H121" s="69"/>
    </row>
    <row r="122" spans="1:9" ht="13.5" customHeight="1" hidden="1">
      <c r="A122" s="52" t="s">
        <v>544</v>
      </c>
      <c r="B122" s="75"/>
      <c r="C122" s="75"/>
      <c r="D122" s="75"/>
      <c r="E122" s="75"/>
      <c r="F122" s="75"/>
      <c r="G122" s="75"/>
      <c r="H122" s="75"/>
      <c r="I122" s="75"/>
    </row>
    <row r="123" spans="1:9" ht="12.75" customHeight="1" hidden="1">
      <c r="A123" s="571" t="s">
        <v>128</v>
      </c>
      <c r="B123" s="571" t="s">
        <v>157</v>
      </c>
      <c r="C123" s="552" t="s">
        <v>158</v>
      </c>
      <c r="D123" s="552" t="s">
        <v>159</v>
      </c>
      <c r="E123" s="575" t="s">
        <v>160</v>
      </c>
      <c r="F123" s="575"/>
      <c r="G123" s="575"/>
      <c r="H123" s="575"/>
      <c r="I123" s="552" t="s">
        <v>83</v>
      </c>
    </row>
    <row r="124" spans="1:9" ht="12.75" customHeight="1" hidden="1">
      <c r="A124" s="572"/>
      <c r="B124" s="572"/>
      <c r="C124" s="553"/>
      <c r="D124" s="553"/>
      <c r="E124" s="575" t="s">
        <v>357</v>
      </c>
      <c r="F124" s="575"/>
      <c r="G124" s="552" t="s">
        <v>161</v>
      </c>
      <c r="H124" s="552" t="s">
        <v>358</v>
      </c>
      <c r="I124" s="553"/>
    </row>
    <row r="125" spans="1:9" ht="12.75" customHeight="1" hidden="1">
      <c r="A125" s="573"/>
      <c r="B125" s="573"/>
      <c r="C125" s="554"/>
      <c r="D125" s="554"/>
      <c r="E125" s="76" t="s">
        <v>162</v>
      </c>
      <c r="F125" s="76" t="s">
        <v>163</v>
      </c>
      <c r="G125" s="554"/>
      <c r="H125" s="554"/>
      <c r="I125" s="554"/>
    </row>
    <row r="126" spans="1:9" ht="13.5" customHeight="1" hidden="1">
      <c r="A126" s="274" t="s">
        <v>124</v>
      </c>
      <c r="B126" s="275">
        <v>0</v>
      </c>
      <c r="C126" s="275">
        <v>0</v>
      </c>
      <c r="D126" s="275">
        <v>0</v>
      </c>
      <c r="E126" s="275">
        <v>0</v>
      </c>
      <c r="F126" s="275">
        <v>0</v>
      </c>
      <c r="G126" s="275">
        <v>0</v>
      </c>
      <c r="H126" s="275">
        <v>0</v>
      </c>
      <c r="I126" s="276">
        <f aca="true" t="shared" si="5" ref="I126:I135">SUM(B126:H126)</f>
        <v>0</v>
      </c>
    </row>
    <row r="127" spans="1:9" ht="13.5" customHeight="1" hidden="1">
      <c r="A127" s="265" t="s">
        <v>125</v>
      </c>
      <c r="B127" s="275">
        <v>0</v>
      </c>
      <c r="C127" s="275">
        <v>0</v>
      </c>
      <c r="D127" s="275">
        <v>0</v>
      </c>
      <c r="E127" s="275">
        <v>0</v>
      </c>
      <c r="F127" s="275">
        <v>0</v>
      </c>
      <c r="G127" s="275">
        <v>0</v>
      </c>
      <c r="H127" s="275">
        <v>0</v>
      </c>
      <c r="I127" s="276">
        <f t="shared" si="5"/>
        <v>0</v>
      </c>
    </row>
    <row r="128" spans="1:9" ht="13.5" customHeight="1" hidden="1">
      <c r="A128" s="265" t="s">
        <v>126</v>
      </c>
      <c r="B128" s="275">
        <v>0</v>
      </c>
      <c r="C128" s="275">
        <v>0</v>
      </c>
      <c r="D128" s="275">
        <v>0</v>
      </c>
      <c r="E128" s="275">
        <v>0</v>
      </c>
      <c r="F128" s="275">
        <v>0</v>
      </c>
      <c r="G128" s="275">
        <v>0</v>
      </c>
      <c r="H128" s="275">
        <v>0</v>
      </c>
      <c r="I128" s="276">
        <f t="shared" si="5"/>
        <v>0</v>
      </c>
    </row>
    <row r="129" spans="1:9" ht="13.5" customHeight="1" hidden="1">
      <c r="A129" s="265" t="s">
        <v>119</v>
      </c>
      <c r="B129" s="275">
        <v>0</v>
      </c>
      <c r="C129" s="275">
        <v>0</v>
      </c>
      <c r="D129" s="275">
        <v>0</v>
      </c>
      <c r="E129" s="275">
        <v>0</v>
      </c>
      <c r="F129" s="275">
        <v>0</v>
      </c>
      <c r="G129" s="275">
        <v>0</v>
      </c>
      <c r="H129" s="275">
        <v>0</v>
      </c>
      <c r="I129" s="276">
        <f t="shared" si="5"/>
        <v>0</v>
      </c>
    </row>
    <row r="130" spans="1:9" ht="13.5" customHeight="1" hidden="1">
      <c r="A130" s="265" t="s">
        <v>127</v>
      </c>
      <c r="B130" s="275">
        <v>0</v>
      </c>
      <c r="C130" s="275">
        <v>0</v>
      </c>
      <c r="D130" s="275">
        <v>0</v>
      </c>
      <c r="E130" s="275">
        <v>0</v>
      </c>
      <c r="F130" s="275">
        <v>0</v>
      </c>
      <c r="G130" s="275">
        <v>0</v>
      </c>
      <c r="H130" s="275">
        <v>0</v>
      </c>
      <c r="I130" s="276">
        <f t="shared" si="5"/>
        <v>0</v>
      </c>
    </row>
    <row r="131" spans="1:9" ht="13.5" customHeight="1" hidden="1">
      <c r="A131" s="265" t="s">
        <v>155</v>
      </c>
      <c r="B131" s="275">
        <v>0</v>
      </c>
      <c r="C131" s="275">
        <v>0</v>
      </c>
      <c r="D131" s="275">
        <v>0</v>
      </c>
      <c r="E131" s="275">
        <v>0</v>
      </c>
      <c r="F131" s="275">
        <v>0</v>
      </c>
      <c r="G131" s="275">
        <v>0</v>
      </c>
      <c r="H131" s="275">
        <v>0</v>
      </c>
      <c r="I131" s="276">
        <f t="shared" si="5"/>
        <v>0</v>
      </c>
    </row>
    <row r="132" spans="1:9" ht="13.5" customHeight="1" hidden="1">
      <c r="A132" s="265" t="s">
        <v>120</v>
      </c>
      <c r="B132" s="272">
        <v>0</v>
      </c>
      <c r="C132" s="272">
        <v>0</v>
      </c>
      <c r="D132" s="272">
        <v>0</v>
      </c>
      <c r="E132" s="272">
        <v>0</v>
      </c>
      <c r="F132" s="272">
        <v>0</v>
      </c>
      <c r="G132" s="272">
        <v>0</v>
      </c>
      <c r="H132" s="272">
        <v>0</v>
      </c>
      <c r="I132" s="276">
        <f t="shared" si="5"/>
        <v>0</v>
      </c>
    </row>
    <row r="133" spans="1:9" ht="13.5" customHeight="1" hidden="1">
      <c r="A133" s="265" t="s">
        <v>121</v>
      </c>
      <c r="B133" s="272">
        <v>0</v>
      </c>
      <c r="C133" s="272">
        <v>0</v>
      </c>
      <c r="D133" s="272">
        <v>0</v>
      </c>
      <c r="E133" s="272">
        <v>0</v>
      </c>
      <c r="F133" s="272">
        <v>0</v>
      </c>
      <c r="G133" s="272">
        <v>0</v>
      </c>
      <c r="H133" s="272">
        <v>0</v>
      </c>
      <c r="I133" s="276">
        <f t="shared" si="5"/>
        <v>0</v>
      </c>
    </row>
    <row r="134" spans="1:9" ht="13.5" customHeight="1" hidden="1">
      <c r="A134" s="265" t="s">
        <v>156</v>
      </c>
      <c r="B134" s="272">
        <v>0</v>
      </c>
      <c r="C134" s="272">
        <v>0</v>
      </c>
      <c r="D134" s="272">
        <v>0</v>
      </c>
      <c r="E134" s="272">
        <v>0</v>
      </c>
      <c r="F134" s="272">
        <v>0</v>
      </c>
      <c r="G134" s="272">
        <v>0</v>
      </c>
      <c r="H134" s="272">
        <v>0</v>
      </c>
      <c r="I134" s="276">
        <f t="shared" si="5"/>
        <v>0</v>
      </c>
    </row>
    <row r="135" spans="1:9" ht="13.5" customHeight="1" hidden="1">
      <c r="A135" s="265" t="s">
        <v>12</v>
      </c>
      <c r="B135" s="272">
        <v>0</v>
      </c>
      <c r="C135" s="272">
        <v>0</v>
      </c>
      <c r="D135" s="272">
        <v>0</v>
      </c>
      <c r="E135" s="272">
        <v>0</v>
      </c>
      <c r="F135" s="272">
        <v>0</v>
      </c>
      <c r="G135" s="272">
        <v>0</v>
      </c>
      <c r="H135" s="272">
        <v>0</v>
      </c>
      <c r="I135" s="276">
        <f t="shared" si="5"/>
        <v>0</v>
      </c>
    </row>
    <row r="136" spans="1:9" ht="13.5" customHeight="1" hidden="1">
      <c r="A136" s="332" t="s">
        <v>83</v>
      </c>
      <c r="B136" s="349">
        <f aca="true" t="shared" si="6" ref="B136:I136">SUM(B126:B135)</f>
        <v>0</v>
      </c>
      <c r="C136" s="349">
        <f t="shared" si="6"/>
        <v>0</v>
      </c>
      <c r="D136" s="349">
        <f t="shared" si="6"/>
        <v>0</v>
      </c>
      <c r="E136" s="349">
        <f t="shared" si="6"/>
        <v>0</v>
      </c>
      <c r="F136" s="349">
        <f t="shared" si="6"/>
        <v>0</v>
      </c>
      <c r="G136" s="349">
        <f t="shared" si="6"/>
        <v>0</v>
      </c>
      <c r="H136" s="349">
        <f t="shared" si="6"/>
        <v>0</v>
      </c>
      <c r="I136" s="349">
        <f t="shared" si="6"/>
        <v>0</v>
      </c>
    </row>
    <row r="137" spans="3:4" ht="13.5" customHeight="1">
      <c r="C137" s="52"/>
      <c r="D137" s="52"/>
    </row>
    <row r="138" spans="1:6" ht="27.75" customHeight="1">
      <c r="A138" s="490" t="s">
        <v>493</v>
      </c>
      <c r="B138" s="587"/>
      <c r="C138" s="587"/>
      <c r="D138" s="587"/>
      <c r="E138" s="587"/>
      <c r="F138" s="587"/>
    </row>
    <row r="139" spans="1:8" ht="27.75" customHeight="1">
      <c r="A139" s="512" t="s">
        <v>494</v>
      </c>
      <c r="B139" s="574"/>
      <c r="C139" s="574"/>
      <c r="D139" s="574"/>
      <c r="E139" s="574"/>
      <c r="F139" s="574"/>
      <c r="G139" s="184"/>
      <c r="H139" s="184"/>
    </row>
    <row r="140" spans="1:6" ht="54.75" customHeight="1">
      <c r="A140" s="582" t="str">
        <f>"Renewable energy project types in service during FY "&amp;TEXT(Lists!N3,"0000")&amp;", by age and source"</f>
        <v>Renewable energy project types in service during FY 2009, by age and source</v>
      </c>
      <c r="B140" s="583"/>
      <c r="C140" s="584"/>
      <c r="D140" s="55" t="s">
        <v>58</v>
      </c>
      <c r="E140" s="55" t="s">
        <v>59</v>
      </c>
      <c r="F140" s="55" t="s">
        <v>165</v>
      </c>
    </row>
    <row r="141" spans="1:6" ht="21.75" customHeight="1">
      <c r="A141" s="588" t="s">
        <v>495</v>
      </c>
      <c r="B141" s="589"/>
      <c r="C141" s="589"/>
      <c r="D141" s="589"/>
      <c r="E141" s="589"/>
      <c r="F141" s="590"/>
    </row>
    <row r="142" spans="1:6" ht="21.75" customHeight="1">
      <c r="A142" s="517" t="s">
        <v>170</v>
      </c>
      <c r="B142" s="518"/>
      <c r="C142" s="518"/>
      <c r="D142" s="262">
        <f>COUNTIF(RE1,"YesNewMWHSolar")</f>
        <v>100</v>
      </c>
      <c r="E142" s="417">
        <f>SUMIF(RE1,"YesNewMWHSolar",REMWH)</f>
        <v>21.53000000000004</v>
      </c>
      <c r="F142" s="25">
        <f>SUMIF(RE11,"YesNewMWHSolarYes",REMWH)</f>
        <v>21.335000000000033</v>
      </c>
    </row>
    <row r="143" spans="1:6" ht="21.75" customHeight="1">
      <c r="A143" s="517" t="s">
        <v>171</v>
      </c>
      <c r="B143" s="518"/>
      <c r="C143" s="518"/>
      <c r="D143" s="262">
        <f>COUNTIF(RE1,"YesNewMWHWind")</f>
        <v>0</v>
      </c>
      <c r="E143" s="417">
        <f>SUMIF(RE1,"YesNewMWHWind",REMWH)</f>
        <v>0</v>
      </c>
      <c r="F143" s="25">
        <f>SUMIF(RE11,"YesNewMWHWindYes",REMWH)</f>
        <v>0</v>
      </c>
    </row>
    <row r="144" spans="1:6" ht="21.75" customHeight="1">
      <c r="A144" s="517" t="s">
        <v>172</v>
      </c>
      <c r="B144" s="518"/>
      <c r="C144" s="518"/>
      <c r="D144" s="262">
        <f>COUNTIF(RE1,"YesNewMWHBiomass")</f>
        <v>0</v>
      </c>
      <c r="E144" s="417">
        <f>SUMIF(RE1,"YesNewMWHBiomass",REMWH)</f>
        <v>0</v>
      </c>
      <c r="F144" s="25">
        <f>SUMIF(RE11,"YesNewMWHBiomassYes",REMWH)</f>
        <v>0</v>
      </c>
    </row>
    <row r="145" spans="1:6" ht="21.75" customHeight="1">
      <c r="A145" s="517" t="s">
        <v>173</v>
      </c>
      <c r="B145" s="518"/>
      <c r="C145" s="518"/>
      <c r="D145" s="262">
        <f>COUNTIF(RE1,"YesNewMWHLandfill")</f>
        <v>0</v>
      </c>
      <c r="E145" s="417">
        <f>SUMIF(RE1,"YesNewMWHLandfill",REMWH)</f>
        <v>0</v>
      </c>
      <c r="F145" s="25">
        <f>SUMIF(RE11,"YesNewMWHLandfillYes",REMWH)</f>
        <v>0</v>
      </c>
    </row>
    <row r="146" spans="1:6" ht="21.75" customHeight="1">
      <c r="A146" s="517" t="s">
        <v>174</v>
      </c>
      <c r="B146" s="518"/>
      <c r="C146" s="518"/>
      <c r="D146" s="262">
        <f>COUNTIF(RE1,"YesNewMWHGeothermal")</f>
        <v>0</v>
      </c>
      <c r="E146" s="417">
        <f>SUMIF(RE1,"YesNewMWHGeothermal",REMWH)</f>
        <v>0</v>
      </c>
      <c r="F146" s="25">
        <f>SUMIF(RE11,"YesNewMWHGeothermalYes",REMWH)</f>
        <v>0</v>
      </c>
    </row>
    <row r="147" spans="1:6" ht="21.75" customHeight="1">
      <c r="A147" s="517" t="s">
        <v>175</v>
      </c>
      <c r="B147" s="518"/>
      <c r="C147" s="518"/>
      <c r="D147" s="262">
        <f>COUNTIF(RE1,"YesNewMWHHydro")</f>
        <v>0</v>
      </c>
      <c r="E147" s="417">
        <f>SUMIF(RE1,"YesNewMWHHydro",REMWH)</f>
        <v>0</v>
      </c>
      <c r="F147" s="25">
        <f>SUMIF(RE11,"YesNewMWHHydroYes",REMWH)</f>
        <v>0</v>
      </c>
    </row>
    <row r="148" spans="1:6" ht="21.75" customHeight="1">
      <c r="A148" s="543" t="s">
        <v>500</v>
      </c>
      <c r="B148" s="544"/>
      <c r="C148" s="544"/>
      <c r="D148" s="418">
        <f>COUNTIF(RE2,"YesNewMBtuLandfill")+COUNTIF(RE2,"YesNewMBtuBiomass")</f>
        <v>0</v>
      </c>
      <c r="E148" s="419">
        <f>SUMIF(RE2,"YesNewMBtuLandfill",REMBtu)+SUMIF(RE2,"YesNewMBtuBiomass",REMBtu)</f>
        <v>0</v>
      </c>
      <c r="F148" s="291">
        <f>SUMIF(RE22,"YesNewMBtuLandfillYes",REMBtu)+SUMIF(RE22,"YesNewMBtuBiomassYes",REMBtu)</f>
        <v>0</v>
      </c>
    </row>
    <row r="149" spans="1:6" ht="21.75" customHeight="1">
      <c r="A149" s="543" t="s">
        <v>501</v>
      </c>
      <c r="B149" s="544"/>
      <c r="C149" s="544"/>
      <c r="D149" s="418">
        <v>1</v>
      </c>
      <c r="E149" s="419">
        <f>'5. Operating On-Site RE'!Y106</f>
        <v>620</v>
      </c>
      <c r="F149" s="420">
        <f>SUMIF(RE22,"YesNewMBtuHydroYes",REMBtu)+SUMIF(RE22,"YesNewMBtuGeothermalYes",REMBtu)</f>
        <v>0</v>
      </c>
    </row>
    <row r="150" spans="1:6" ht="21.75" customHeight="1">
      <c r="A150" s="543" t="s">
        <v>502</v>
      </c>
      <c r="B150" s="544"/>
      <c r="C150" s="544"/>
      <c r="D150" s="418">
        <f>COUNTIF(RE2,"YesNewMBtuWind")+COUNTIF(RE2,"YesNewMBtuSolar")</f>
        <v>0</v>
      </c>
      <c r="E150" s="419">
        <f>SUMIF(RE2,"YesNewMBtuLandfill",REMBtu)+SUMIF(RE2,"YesNewMBtuBiomass",REMBtu)</f>
        <v>0</v>
      </c>
      <c r="F150" s="420">
        <f>SUMIF(RE22,"YesNewMBtuWindYes",REMBtu)+SUMIF(RE22,"YesNewMBtuSolarYes",REMBtu)</f>
        <v>0</v>
      </c>
    </row>
    <row r="151" spans="1:6" ht="21.75" customHeight="1">
      <c r="A151" s="588" t="s">
        <v>496</v>
      </c>
      <c r="B151" s="589"/>
      <c r="C151" s="589"/>
      <c r="D151" s="589"/>
      <c r="E151" s="589"/>
      <c r="F151" s="590"/>
    </row>
    <row r="152" spans="1:6" ht="21.75" customHeight="1">
      <c r="A152" s="556" t="s">
        <v>176</v>
      </c>
      <c r="B152" s="557"/>
      <c r="C152" s="557"/>
      <c r="D152" s="410">
        <f>COUNTIF(RE1,"YesOldMWHSolar")</f>
        <v>0</v>
      </c>
      <c r="E152" s="413">
        <f>SUMIF(RE1,"YesOldMWHSolar",REMWH)</f>
        <v>0</v>
      </c>
      <c r="F152" s="29">
        <f>SUMIF(RE11,"YesOldMWHSolarYes",REMWH)</f>
        <v>0</v>
      </c>
    </row>
    <row r="153" spans="1:6" ht="21.75" customHeight="1">
      <c r="A153" s="556" t="s">
        <v>177</v>
      </c>
      <c r="B153" s="557"/>
      <c r="C153" s="557"/>
      <c r="D153" s="410">
        <f>COUNTIF(RE1,"YesOldMWHWind")</f>
        <v>0</v>
      </c>
      <c r="E153" s="413">
        <f>SUMIF(RE1,"YesOldMWHWind",REMWH)</f>
        <v>0</v>
      </c>
      <c r="F153" s="29">
        <f>SUMIF(RE11,"YesOldMWHWindYes",REMWH)</f>
        <v>0</v>
      </c>
    </row>
    <row r="154" spans="1:6" ht="21.75" customHeight="1">
      <c r="A154" s="556" t="s">
        <v>178</v>
      </c>
      <c r="B154" s="557"/>
      <c r="C154" s="557"/>
      <c r="D154" s="410">
        <f>COUNTIF(RE1,"YesOldMWHBiomass")</f>
        <v>0</v>
      </c>
      <c r="E154" s="413">
        <f>SUMIF(RE1,"YesOldMWHBiomass",REMWH)</f>
        <v>0</v>
      </c>
      <c r="F154" s="29">
        <f>SUMIF(RE11,"YesOldMWHBiomassYes",REMWH)</f>
        <v>0</v>
      </c>
    </row>
    <row r="155" spans="1:6" ht="21.75" customHeight="1">
      <c r="A155" s="556" t="s">
        <v>179</v>
      </c>
      <c r="B155" s="557"/>
      <c r="C155" s="557"/>
      <c r="D155" s="410">
        <f>COUNTIF(RE1,"YesOldMWHLandfill")</f>
        <v>0</v>
      </c>
      <c r="E155" s="413">
        <f>SUMIF(RE1,"YesOldMWHLandfill",REMWH)</f>
        <v>0</v>
      </c>
      <c r="F155" s="29">
        <f>SUMIF(RE11,"YesOldMWHLandfillYes",REMWH)</f>
        <v>0</v>
      </c>
    </row>
    <row r="156" spans="1:6" ht="21.75" customHeight="1">
      <c r="A156" s="556" t="s">
        <v>180</v>
      </c>
      <c r="B156" s="557"/>
      <c r="C156" s="557"/>
      <c r="D156" s="410">
        <f>COUNTIF(RE1,"YesOldMWHGeothermal")</f>
        <v>0</v>
      </c>
      <c r="E156" s="413">
        <f>SUMIF(RE1,"YesOldMWHGeothermal",REMWH)</f>
        <v>0</v>
      </c>
      <c r="F156" s="29">
        <f>SUMIF(RE11,"YesOldMWHGeothermalYes",REMWH)</f>
        <v>0</v>
      </c>
    </row>
    <row r="157" spans="1:6" ht="21.75" customHeight="1">
      <c r="A157" s="556" t="s">
        <v>181</v>
      </c>
      <c r="B157" s="557"/>
      <c r="C157" s="557"/>
      <c r="D157" s="410">
        <f>COUNTIF(RE1,"YesOldMWHHydro")</f>
        <v>0</v>
      </c>
      <c r="E157" s="413">
        <f>SUMIF(RE1,"YesOldMWHHydro",REMWH)</f>
        <v>0</v>
      </c>
      <c r="F157" s="29">
        <f>SUMIF(RE11,"YesOldMWHHydroYes",REMWH)</f>
        <v>0</v>
      </c>
    </row>
    <row r="158" spans="1:6" ht="21.75" customHeight="1">
      <c r="A158" s="558" t="s">
        <v>497</v>
      </c>
      <c r="B158" s="559"/>
      <c r="C158" s="559"/>
      <c r="D158" s="411">
        <f>COUNTIF(RE2,"YesOldMBtuLandfill")+COUNTIF(RE2,"YesOldMBtuBiomass")</f>
        <v>0</v>
      </c>
      <c r="E158" s="414">
        <f>SUMIF(RE2,"YesOldMBtuLandfill",REMBtu)+SUMIF(RE2,"YesOldMBtuBiomass",REMBtu)</f>
        <v>0</v>
      </c>
      <c r="F158" s="293">
        <f>SUMIF(RE22,"YesOldMBtuLandfillYes",REMBtu)+SUMIF(RE22,"YesOldMBtuBiomassYes",REMBtu)</f>
        <v>0</v>
      </c>
    </row>
    <row r="159" spans="1:6" ht="21.75" customHeight="1">
      <c r="A159" s="558" t="s">
        <v>498</v>
      </c>
      <c r="B159" s="559"/>
      <c r="C159" s="559"/>
      <c r="D159" s="412">
        <f>COUNTIF(RE2,"YesOldMBtuHydro")+COUNTIF(RE2,"YesOldMBtuGeothermal")</f>
        <v>0</v>
      </c>
      <c r="E159" s="415">
        <f>SUMIF(RE2,"YesOldMBtuHydro",REMBtu)+SUMIF(RE2,"YesOldMBtuGeothermal",REMBtu)</f>
        <v>0</v>
      </c>
      <c r="F159" s="416">
        <f>SUMIF(RE22,"YesOldMBtuHydroYes",REMBtu)+SUMIF(RE22,"YesOldMBtuGeothermalYes",REMBtu)</f>
        <v>0</v>
      </c>
    </row>
    <row r="160" spans="1:6" ht="21.75" customHeight="1">
      <c r="A160" s="558" t="s">
        <v>499</v>
      </c>
      <c r="B160" s="559"/>
      <c r="C160" s="559"/>
      <c r="D160" s="412">
        <f>COUNTIF(RE2,"YesOldMBtuWind")+COUNTIF(RE2,"YesOldMBtuSolar")</f>
        <v>0</v>
      </c>
      <c r="E160" s="415">
        <f>SUMIF(RE2,"YesOldMBtuWind",REMBtu)+SUMIF(RE2,"YesOldMBtuSolar",REMBtu)</f>
        <v>0</v>
      </c>
      <c r="F160" s="416">
        <f>SUMIF(RE22,"YesOldMBtuWindYes",REMBtu)+SUMIF(RE22,"YesOldMBtuSolarYes",REMBtu)</f>
        <v>0</v>
      </c>
    </row>
    <row r="161" spans="1:6" ht="18" customHeight="1">
      <c r="A161" s="538" t="s">
        <v>552</v>
      </c>
      <c r="B161" s="522"/>
      <c r="C161" s="522"/>
      <c r="D161" s="262">
        <f>SUM(D142:D147)</f>
        <v>100</v>
      </c>
      <c r="E161" s="70">
        <f>SUM(E142:E147)</f>
        <v>21.53000000000004</v>
      </c>
      <c r="F161" s="70">
        <f>SUM(F142:F147)</f>
        <v>21.335000000000033</v>
      </c>
    </row>
    <row r="162" spans="1:6" ht="18" customHeight="1">
      <c r="A162" s="534" t="s">
        <v>553</v>
      </c>
      <c r="B162" s="535"/>
      <c r="C162" s="535"/>
      <c r="D162" s="28">
        <f>SUM(D152:D157)</f>
        <v>0</v>
      </c>
      <c r="E162" s="29">
        <f>SUM(E152:E157)</f>
        <v>0</v>
      </c>
      <c r="F162" s="27">
        <f>IF(F161&lt;=E161,"","ERROR")</f>
      </c>
    </row>
    <row r="163" spans="1:5" ht="18" customHeight="1">
      <c r="A163" s="532" t="s">
        <v>554</v>
      </c>
      <c r="B163" s="533"/>
      <c r="C163" s="533"/>
      <c r="D163" s="290">
        <f>SUM(D148:D150)</f>
        <v>1</v>
      </c>
      <c r="E163" s="291">
        <f>SUM(E148:E149)</f>
        <v>620</v>
      </c>
    </row>
    <row r="164" spans="1:8" ht="18" customHeight="1">
      <c r="A164" s="550" t="s">
        <v>555</v>
      </c>
      <c r="B164" s="551"/>
      <c r="C164" s="551"/>
      <c r="D164" s="292">
        <f>SUM(D158:D160)</f>
        <v>0</v>
      </c>
      <c r="E164" s="293">
        <f>SUM(E158:E160)</f>
        <v>0</v>
      </c>
      <c r="H164" s="122"/>
    </row>
    <row r="165" spans="1:5" ht="18" customHeight="1">
      <c r="A165" s="585" t="s">
        <v>503</v>
      </c>
      <c r="B165" s="586"/>
      <c r="C165" s="586"/>
      <c r="D165" s="263">
        <f>SUM(D161:D164)</f>
        <v>101</v>
      </c>
      <c r="E165" s="264">
        <f>((E161+E162)*3.412)+E163+E164</f>
        <v>693.4603600000002</v>
      </c>
    </row>
    <row r="166" spans="1:6" ht="13.5" customHeight="1">
      <c r="A166" s="77"/>
      <c r="B166" s="78"/>
      <c r="C166" s="78"/>
      <c r="D166" s="79"/>
      <c r="E166" s="27"/>
      <c r="F166" s="27"/>
    </row>
    <row r="167" spans="1:4" ht="13.5" customHeight="1">
      <c r="A167" s="4" t="s">
        <v>252</v>
      </c>
      <c r="B167" s="52"/>
      <c r="C167" s="80"/>
      <c r="D167" s="81"/>
    </row>
    <row r="168" spans="1:4" ht="13.5" customHeight="1">
      <c r="A168" s="5" t="s">
        <v>504</v>
      </c>
      <c r="B168" s="52"/>
      <c r="C168" s="80"/>
      <c r="D168" s="81"/>
    </row>
    <row r="169" spans="1:9" ht="30" customHeight="1">
      <c r="A169" s="59"/>
      <c r="B169" s="60"/>
      <c r="C169" s="113"/>
      <c r="D169" s="114"/>
      <c r="E169" s="114"/>
      <c r="F169" s="114"/>
      <c r="G169" s="115"/>
      <c r="H169" s="55" t="s">
        <v>87</v>
      </c>
      <c r="I169" s="55" t="s">
        <v>86</v>
      </c>
    </row>
    <row r="170" spans="1:9" ht="39.75" customHeight="1">
      <c r="A170" s="560" t="s">
        <v>182</v>
      </c>
      <c r="B170" s="561"/>
      <c r="C170" s="561"/>
      <c r="D170" s="562"/>
      <c r="E170" s="562"/>
      <c r="F170" s="562"/>
      <c r="G170" s="485"/>
      <c r="H170" s="123">
        <f>SUMIF(RE3,"NoNewMWH",REMWH)</f>
        <v>0</v>
      </c>
      <c r="I170" s="10">
        <f>IF((D189-F189)&gt;(H170),H170,(D189-F189))</f>
        <v>0</v>
      </c>
    </row>
    <row r="171" spans="1:9" ht="41.25" customHeight="1">
      <c r="A171" s="560" t="s">
        <v>183</v>
      </c>
      <c r="B171" s="561"/>
      <c r="C171" s="561"/>
      <c r="D171" s="562"/>
      <c r="E171" s="562"/>
      <c r="F171" s="562"/>
      <c r="G171" s="485"/>
      <c r="H171" s="123">
        <f>SUMIF(RE3,"NoOldMWH",REMWH)</f>
        <v>0</v>
      </c>
      <c r="I171" s="10">
        <f>IF((D189-F189)&gt;(H170+H171),H171,((D189-F189)-I170))</f>
        <v>0</v>
      </c>
    </row>
    <row r="172" ht="13.5" customHeight="1"/>
    <row r="173" spans="1:5" ht="13.5" customHeight="1">
      <c r="A173" s="4" t="str">
        <f>"1-9a.  Renewable Energy/Renewable Energy Certificate Purchases in FY "&amp;TEXT(Lists!N3,"0000")</f>
        <v>1-9a.  Renewable Energy/Renewable Energy Certificate Purchases in FY 2009</v>
      </c>
      <c r="C173" s="82"/>
      <c r="D173" s="83"/>
      <c r="E173" s="84"/>
    </row>
    <row r="174" spans="1:10" ht="13.5" customHeight="1">
      <c r="A174" s="512" t="s">
        <v>460</v>
      </c>
      <c r="B174" s="513"/>
      <c r="C174" s="513"/>
      <c r="D174" s="513"/>
      <c r="E174" s="513"/>
      <c r="F174" s="513"/>
      <c r="G174" s="513"/>
      <c r="H174" s="513"/>
      <c r="I174" s="513"/>
      <c r="J174" s="513"/>
    </row>
    <row r="175" spans="1:11" ht="60" customHeight="1">
      <c r="A175" s="515" t="s">
        <v>462</v>
      </c>
      <c r="B175" s="516"/>
      <c r="C175" s="516"/>
      <c r="D175" s="116" t="s">
        <v>259</v>
      </c>
      <c r="E175" s="55" t="s">
        <v>488</v>
      </c>
      <c r="F175" s="117" t="s">
        <v>461</v>
      </c>
      <c r="G175" s="555" t="str">
        <f>"FY "&amp;TEXT(Lists!N3,"0000")&amp;" Goal Application
Renewable Energy Goal (RE)
Energy Efficiency Goal (EE) Credit"</f>
        <v>FY 2009 Goal Application
Renewable Energy Goal (RE)
Energy Efficiency Goal (EE) Credit</v>
      </c>
      <c r="H175" s="526"/>
      <c r="I175" s="55" t="s">
        <v>505</v>
      </c>
      <c r="J175" s="116" t="s">
        <v>506</v>
      </c>
      <c r="K175" s="116" t="s">
        <v>507</v>
      </c>
    </row>
    <row r="176" spans="1:11" ht="38.25" customHeight="1">
      <c r="A176" s="517" t="s">
        <v>253</v>
      </c>
      <c r="B176" s="518"/>
      <c r="C176" s="518"/>
      <c r="D176" s="294">
        <v>206.4</v>
      </c>
      <c r="E176" s="220">
        <v>3.4</v>
      </c>
      <c r="F176" s="295">
        <v>0</v>
      </c>
      <c r="G176" s="560" t="s">
        <v>388</v>
      </c>
      <c r="H176" s="526"/>
      <c r="I176" s="296" t="s">
        <v>418</v>
      </c>
      <c r="J176" s="297">
        <f aca="true" t="shared" si="7" ref="J176:J183">(SUMIF($I176,"Short Goal",$D176)*0.003412)+SUMIF($I176,"Long Goal",$D176)*0.003412</f>
        <v>0.7042368</v>
      </c>
      <c r="K176" s="297">
        <f aca="true" t="shared" si="8" ref="K176:K183">(SUMIF($I176,"Short Excluded",$D176)*0.003412)+SUMIF($I176,"Long Excluded",$D176)*0.003412</f>
        <v>0</v>
      </c>
    </row>
    <row r="177" spans="1:11" ht="38.25" customHeight="1">
      <c r="A177" s="517" t="s">
        <v>254</v>
      </c>
      <c r="B177" s="518"/>
      <c r="C177" s="518"/>
      <c r="D177" s="294">
        <v>0</v>
      </c>
      <c r="E177" s="220">
        <v>0</v>
      </c>
      <c r="F177" s="295">
        <v>0</v>
      </c>
      <c r="G177" s="560" t="s">
        <v>388</v>
      </c>
      <c r="H177" s="526"/>
      <c r="I177" s="296" t="s">
        <v>546</v>
      </c>
      <c r="J177" s="297">
        <f t="shared" si="7"/>
        <v>0</v>
      </c>
      <c r="K177" s="297">
        <f t="shared" si="8"/>
        <v>0</v>
      </c>
    </row>
    <row r="178" spans="1:11" ht="38.25" customHeight="1">
      <c r="A178" s="556" t="s">
        <v>255</v>
      </c>
      <c r="B178" s="557"/>
      <c r="C178" s="557"/>
      <c r="D178" s="228">
        <v>0</v>
      </c>
      <c r="E178" s="229">
        <v>0</v>
      </c>
      <c r="F178" s="230">
        <v>0</v>
      </c>
      <c r="G178" s="565" t="s">
        <v>389</v>
      </c>
      <c r="H178" s="526"/>
      <c r="I178" s="233" t="s">
        <v>421</v>
      </c>
      <c r="J178" s="32">
        <f t="shared" si="7"/>
        <v>0</v>
      </c>
      <c r="K178" s="32">
        <f t="shared" si="8"/>
        <v>0</v>
      </c>
    </row>
    <row r="179" spans="1:11" ht="38.25" customHeight="1">
      <c r="A179" s="556" t="s">
        <v>256</v>
      </c>
      <c r="B179" s="557"/>
      <c r="C179" s="557"/>
      <c r="D179" s="228">
        <v>0</v>
      </c>
      <c r="E179" s="229">
        <v>0</v>
      </c>
      <c r="F179" s="230">
        <v>0</v>
      </c>
      <c r="G179" s="565" t="s">
        <v>389</v>
      </c>
      <c r="H179" s="526"/>
      <c r="I179" s="233" t="s">
        <v>421</v>
      </c>
      <c r="J179" s="32">
        <f t="shared" si="7"/>
        <v>0</v>
      </c>
      <c r="K179" s="32">
        <f t="shared" si="8"/>
        <v>0</v>
      </c>
    </row>
    <row r="180" spans="1:11" ht="38.25" customHeight="1">
      <c r="A180" s="566" t="s">
        <v>257</v>
      </c>
      <c r="B180" s="567"/>
      <c r="C180" s="567"/>
      <c r="D180" s="226">
        <v>0</v>
      </c>
      <c r="E180" s="222">
        <v>0</v>
      </c>
      <c r="F180" s="227">
        <v>0</v>
      </c>
      <c r="G180" s="563" t="s">
        <v>388</v>
      </c>
      <c r="H180" s="526"/>
      <c r="I180" s="232" t="s">
        <v>546</v>
      </c>
      <c r="J180" s="31">
        <f t="shared" si="7"/>
        <v>0</v>
      </c>
      <c r="K180" s="31">
        <f t="shared" si="8"/>
        <v>0</v>
      </c>
    </row>
    <row r="181" spans="1:11" ht="38.25" customHeight="1">
      <c r="A181" s="566" t="s">
        <v>257</v>
      </c>
      <c r="B181" s="567"/>
      <c r="C181" s="567"/>
      <c r="D181" s="226">
        <v>0</v>
      </c>
      <c r="E181" s="222">
        <v>0</v>
      </c>
      <c r="F181" s="227">
        <v>0</v>
      </c>
      <c r="G181" s="563" t="s">
        <v>388</v>
      </c>
      <c r="H181" s="526"/>
      <c r="I181" s="232" t="s">
        <v>421</v>
      </c>
      <c r="J181" s="31">
        <f t="shared" si="7"/>
        <v>0</v>
      </c>
      <c r="K181" s="31">
        <f t="shared" si="8"/>
        <v>0</v>
      </c>
    </row>
    <row r="182" spans="1:11" ht="38.25" customHeight="1">
      <c r="A182" s="519" t="s">
        <v>258</v>
      </c>
      <c r="B182" s="520"/>
      <c r="C182" s="520"/>
      <c r="D182" s="313">
        <v>0</v>
      </c>
      <c r="E182" s="314">
        <v>0</v>
      </c>
      <c r="F182" s="315">
        <v>0</v>
      </c>
      <c r="G182" s="564" t="s">
        <v>390</v>
      </c>
      <c r="H182" s="526"/>
      <c r="I182" s="316" t="s">
        <v>421</v>
      </c>
      <c r="J182" s="317">
        <f t="shared" si="7"/>
        <v>0</v>
      </c>
      <c r="K182" s="317">
        <f t="shared" si="8"/>
        <v>0</v>
      </c>
    </row>
    <row r="183" spans="1:11" ht="38.25" customHeight="1">
      <c r="A183" s="519" t="s">
        <v>258</v>
      </c>
      <c r="B183" s="520"/>
      <c r="C183" s="520"/>
      <c r="D183" s="313">
        <v>0</v>
      </c>
      <c r="E183" s="314">
        <v>0</v>
      </c>
      <c r="F183" s="315">
        <v>0</v>
      </c>
      <c r="G183" s="564" t="s">
        <v>390</v>
      </c>
      <c r="H183" s="526"/>
      <c r="I183" s="316" t="s">
        <v>421</v>
      </c>
      <c r="J183" s="317">
        <f t="shared" si="7"/>
        <v>0</v>
      </c>
      <c r="K183" s="317">
        <f t="shared" si="8"/>
        <v>0</v>
      </c>
    </row>
    <row r="184" spans="1:11" ht="38.25" customHeight="1">
      <c r="A184" s="543" t="s">
        <v>508</v>
      </c>
      <c r="B184" s="544"/>
      <c r="C184" s="544"/>
      <c r="D184" s="224">
        <v>0</v>
      </c>
      <c r="E184" s="218">
        <v>0</v>
      </c>
      <c r="F184" s="225">
        <v>0</v>
      </c>
      <c r="G184" s="576" t="s">
        <v>391</v>
      </c>
      <c r="H184" s="526"/>
      <c r="I184" s="231" t="s">
        <v>546</v>
      </c>
      <c r="J184" s="30">
        <f>(SUMIF($I184,"Short Goal",$D184)/1000)+(SUMIF($I184,"Long Goal",$D184)/1000)</f>
        <v>0</v>
      </c>
      <c r="K184" s="30">
        <f>(SUMIF($I184,"Short Excluded",$D184)/1000)+(SUMIF($I184,"Long Excluded",$D184)/1000)</f>
        <v>0</v>
      </c>
    </row>
    <row r="185" spans="1:11" ht="38.25" customHeight="1">
      <c r="A185" s="543" t="s">
        <v>508</v>
      </c>
      <c r="B185" s="544"/>
      <c r="C185" s="544"/>
      <c r="D185" s="224">
        <v>0</v>
      </c>
      <c r="E185" s="218">
        <v>0</v>
      </c>
      <c r="F185" s="225">
        <v>0</v>
      </c>
      <c r="G185" s="576" t="s">
        <v>391</v>
      </c>
      <c r="H185" s="526"/>
      <c r="I185" s="231" t="s">
        <v>421</v>
      </c>
      <c r="J185" s="30">
        <f>(SUMIF($I185,"Short Goal",$D185)/1000)+(SUMIF($I185,"Long Goal",$D185)/1000)</f>
        <v>0</v>
      </c>
      <c r="K185" s="30">
        <f>(SUMIF($I185,"Short Excluded",$D185)/1000)+(SUMIF($I185,"Long Excluded",$D185)/1000)</f>
        <v>0</v>
      </c>
    </row>
    <row r="186" spans="1:11" ht="38.25" customHeight="1">
      <c r="A186" s="547" t="s">
        <v>509</v>
      </c>
      <c r="B186" s="548"/>
      <c r="C186" s="549"/>
      <c r="D186" s="299">
        <v>0</v>
      </c>
      <c r="E186" s="300">
        <v>0</v>
      </c>
      <c r="F186" s="299">
        <v>0</v>
      </c>
      <c r="G186" s="547" t="s">
        <v>391</v>
      </c>
      <c r="H186" s="526"/>
      <c r="I186" s="301" t="s">
        <v>421</v>
      </c>
      <c r="J186" s="302">
        <f>(SUMIF($I186,"Short Goal",$D186)/1000)+(SUMIF($I186,"Long Goal",$D186)/1000)</f>
        <v>0</v>
      </c>
      <c r="K186" s="302">
        <f>(SUMIF($I186,"Short Excluded",$D186)/1000)+(SUMIF($I186,"Long Excluded",$D186)/1000)</f>
        <v>0</v>
      </c>
    </row>
    <row r="187" spans="1:11" ht="38.25" customHeight="1">
      <c r="A187" s="547" t="s">
        <v>509</v>
      </c>
      <c r="B187" s="548"/>
      <c r="C187" s="549"/>
      <c r="D187" s="299">
        <v>0</v>
      </c>
      <c r="E187" s="300">
        <v>0</v>
      </c>
      <c r="F187" s="299">
        <v>0</v>
      </c>
      <c r="G187" s="547" t="s">
        <v>391</v>
      </c>
      <c r="H187" s="526"/>
      <c r="I187" s="301" t="s">
        <v>421</v>
      </c>
      <c r="J187" s="302">
        <f>(SUMIF($I187,"Short Goal",$D187)/1000)+(SUMIF($I187,"Long Goal",$D187)/1000)</f>
        <v>0</v>
      </c>
      <c r="K187" s="302">
        <f>(SUMIF($I187,"Short Excluded",$D187)/1000)+(SUMIF($I187,"Long Excluded",$D187)/1000)</f>
        <v>0</v>
      </c>
    </row>
    <row r="188" spans="1:9" ht="15.75" customHeight="1">
      <c r="A188" s="538" t="s">
        <v>260</v>
      </c>
      <c r="B188" s="522"/>
      <c r="C188" s="522"/>
      <c r="D188" s="145">
        <f>SUM(D176:D177)</f>
        <v>206.4</v>
      </c>
      <c r="E188" s="303">
        <f>SUM(E176:E177)</f>
        <v>3.4</v>
      </c>
      <c r="F188" s="145">
        <f>SUM(F176:F177)</f>
        <v>0</v>
      </c>
      <c r="G188" s="527" t="s">
        <v>137</v>
      </c>
      <c r="H188" s="504"/>
      <c r="I188" s="528">
        <f>IF(((SUMIF(I176:I183,"Short Goal",J176:J183))+(SUMIF(I184:I187,"Short Goal",J184:J187)))&gt;=((((C23/C24)*0.048)*C22)),((((C23/C24)*0.048)*C22)),IF(((SUMIF(I176:I183,"Short Goal",J176:J183))+(SUMIF(I184:I187,"Short Goal",J184:J187)))&lt;((((C23/C24)*0.048)*C22)),(((SUMIF(I176:I183,"Short Goal",J176:J183))+(SUMIF(I184:I187,"Short Goal",J184:J187))))))</f>
        <v>0</v>
      </c>
    </row>
    <row r="189" spans="1:11" ht="15.75" customHeight="1">
      <c r="A189" s="523" t="s">
        <v>261</v>
      </c>
      <c r="B189" s="524"/>
      <c r="C189" s="524"/>
      <c r="D189" s="35">
        <f>SUM(D180:D181)</f>
        <v>0</v>
      </c>
      <c r="E189" s="36">
        <f>SUM(E180:E181)</f>
        <v>0</v>
      </c>
      <c r="F189" s="35">
        <f>SUM(F180:F181)</f>
        <v>0</v>
      </c>
      <c r="G189" s="505"/>
      <c r="H189" s="506"/>
      <c r="I189" s="529"/>
      <c r="K189" s="69"/>
    </row>
    <row r="190" spans="1:9" ht="30" customHeight="1">
      <c r="A190" s="545" t="s">
        <v>262</v>
      </c>
      <c r="B190" s="546"/>
      <c r="C190" s="546"/>
      <c r="D190" s="324">
        <f>SUM(F176:F177,F180:F181)</f>
        <v>0</v>
      </c>
      <c r="E190" s="326"/>
      <c r="F190" s="326"/>
      <c r="G190" s="525" t="s">
        <v>138</v>
      </c>
      <c r="H190" s="526"/>
      <c r="I190" s="120">
        <f>IF(((SUMIF(I176:I183,"Long Goal",J176:J183))+(SUMIF(I184:I187,"Long Goal",J184:J187)))&gt;=((((C23/C24)*0.072)*C22)),((((C23/C24)*0.072)*C22)),IF(((SUMIF(I176:I183,"Long Goal",J176:J183))+(SUMIF(I184:I187,"Long Goal",J184:J187)))&lt;((((C23/C24)*0.072)*C22)),(((SUMIF(I176:I183,"Long Goal",J176:J183))+(SUMIF(I184:I187,"Long Goal",J184:J187))))))</f>
        <v>0.7042368</v>
      </c>
    </row>
    <row r="191" spans="1:9" ht="15.75" customHeight="1">
      <c r="A191" s="534" t="s">
        <v>263</v>
      </c>
      <c r="B191" s="535"/>
      <c r="C191" s="535"/>
      <c r="D191" s="37">
        <f>SUM(D178:D179)</f>
        <v>0</v>
      </c>
      <c r="E191" s="38">
        <f>SUM(E178:E179)</f>
        <v>0</v>
      </c>
      <c r="F191" s="37">
        <f>SUM(F178:F179)</f>
        <v>0</v>
      </c>
      <c r="G191" s="507" t="s">
        <v>139</v>
      </c>
      <c r="H191" s="502"/>
      <c r="I191" s="351">
        <f>IF((I188+I190)&gt;((((C23/C24)*0.072)*C22)),((((C23/C24)*0.072)*C22)),(I188+I190))</f>
        <v>0.7042368</v>
      </c>
    </row>
    <row r="192" spans="1:9" ht="15.75" customHeight="1">
      <c r="A192" s="536" t="s">
        <v>264</v>
      </c>
      <c r="B192" s="537"/>
      <c r="C192" s="537"/>
      <c r="D192" s="318">
        <f>SUM(D182:D183)</f>
        <v>0</v>
      </c>
      <c r="E192" s="319">
        <f>SUM(E182:E183)</f>
        <v>0</v>
      </c>
      <c r="F192" s="318">
        <f>SUM(F182:F183)</f>
        <v>0</v>
      </c>
      <c r="G192" s="503" t="s">
        <v>140</v>
      </c>
      <c r="H192" s="504"/>
      <c r="I192" s="530" t="e">
        <f>IF(((SUMIF(I176:I183,"Short Excluded",K176:K183))+(SUMIF(I184:I187,"Short Excluded",K184:K187)))&gt;=((((C40/C41)*0.048)*C39)),((((C40/C41)*0.048)*C39)),IF(((SUMIF(I176:I183,"Short Excluded",K176:K183))+(SUMIF(I184:I187,"Short Excluded",K184:K187)))&lt;((((C40/C41)*0.048)*C39)),(((SUMIF(I176:I183,"Short Excluded",K176:K183))+(SUMIF(I184:I187,"Short Excluded",K184:K187))))))</f>
        <v>#DIV/0!</v>
      </c>
    </row>
    <row r="193" spans="1:9" ht="15.75" customHeight="1">
      <c r="A193" s="532" t="s">
        <v>510</v>
      </c>
      <c r="B193" s="533"/>
      <c r="C193" s="533"/>
      <c r="D193" s="33">
        <f>SUM(D184:D185)</f>
        <v>0</v>
      </c>
      <c r="E193" s="34">
        <f>SUM(E184:E185)</f>
        <v>0</v>
      </c>
      <c r="F193" s="320"/>
      <c r="G193" s="505"/>
      <c r="H193" s="506"/>
      <c r="I193" s="531"/>
    </row>
    <row r="194" spans="1:9" ht="15.75" customHeight="1">
      <c r="A194" s="550" t="s">
        <v>511</v>
      </c>
      <c r="B194" s="551"/>
      <c r="C194" s="551"/>
      <c r="D194" s="321">
        <f>SUM(D186:D187)</f>
        <v>0</v>
      </c>
      <c r="E194" s="322">
        <f>SUM(E186:E187)</f>
        <v>0</v>
      </c>
      <c r="F194" s="323"/>
      <c r="G194" s="503" t="s">
        <v>141</v>
      </c>
      <c r="H194" s="504"/>
      <c r="I194" s="521" t="e">
        <f>IF(((SUMIF(I176:I183,"Long Excluded",K176:K183))+(SUMIF(I184:I187,"Long Excluded",K184:K187)))&gt;=((((C40/C41)*0.072)*C39)),((((C40/C41)*0.072)*C39)),IF(((SUMIF(I176:I183,"Long Excluded",K176:K183))+(SUMIF(I184:I187,"Long Excluded",K184:K187)))&lt;((((C40/C41)*0.072)*C39)),(((SUMIF(I176:I183,"Long Excluded",K176:K183))+(SUMIF(I184:I187,"Long Excluded",K184:K187))))))</f>
        <v>#DIV/0!</v>
      </c>
    </row>
    <row r="195" spans="1:9" ht="15.75" customHeight="1">
      <c r="A195" s="545" t="s">
        <v>548</v>
      </c>
      <c r="B195" s="546"/>
      <c r="C195" s="546"/>
      <c r="D195" s="324">
        <f>((SUMIF(I176:I183,"Short Goal",D176:D183)+SUMIF(I176:I183,"Long Goal",D176:D183))*3.412)+(SUMIF(I184:I187,"Short Goal",D184:D187)+SUMIF(I184:I187,"Long Goal",D184:D187))</f>
        <v>704.2368</v>
      </c>
      <c r="E195" s="325">
        <f>((SUMIF(I176:I183,"Short Goal",E176:E183)+SUMIF(I176:I183,"Long Goal",E176:E183))*3.412)+(SUMIF(I184:I187,"Short Goal",E184:E187)+SUMIF(I184:I187,"Long Goal",E184:E187))</f>
        <v>11.6008</v>
      </c>
      <c r="F195" s="324">
        <f>((SUMIF(I176:I183,"Short Goal",F176:F183)+SUMIF(I176:I183,"Long Goal",F176:F183))*3.412)+(SUMIF(I184:I187,"Short Goal",F184:F187)+SUMIF(I184:I187,"Long Goal",F184:F187))</f>
        <v>0</v>
      </c>
      <c r="G195" s="505"/>
      <c r="H195" s="506"/>
      <c r="I195" s="522"/>
    </row>
    <row r="196" spans="1:9" ht="15.75" customHeight="1">
      <c r="A196" s="478" t="s">
        <v>545</v>
      </c>
      <c r="B196" s="479"/>
      <c r="C196" s="509"/>
      <c r="D196" s="324">
        <f>((SUMIF(I176:I183,"Short Excluded",D176:D183)+SUMIF(I176:I183,"Long Excluded",D176:D183))*3.412)+(SUMIF(I184:I187,"Short Excluded",D184:D187)+SUMIF(I184:I187,"Long Excluded",D184:D187))</f>
        <v>0</v>
      </c>
      <c r="E196" s="325">
        <f>((SUMIF(I176:I183,"Short Excluded",E176:E183)+SUMIF(I176:I183,"Long Excluded",E176:E183))*3.412)+(SUMIF(I184:I187,"Short Excluded",E184:E187)+SUMIF(I184:I187,"Long Excluded",E184:E187))</f>
        <v>0</v>
      </c>
      <c r="F196" s="324">
        <f>((SUMIF(I176:I183,"Short Excluded",F176:F183)+SUMIF(I176:I183,"Long Excluded",F176:F183))*3.412)+(SUMIF(I184:I187,"Short Excluded",F184:F187)+SUMIF(I184:I187,"Long Excluded",F184:F187))</f>
        <v>0</v>
      </c>
      <c r="G196" s="501" t="s">
        <v>617</v>
      </c>
      <c r="H196" s="502"/>
      <c r="I196" s="352" t="e">
        <f>IF((I192+I194)&gt;(((C40/C41*0.072)*C39)),(((C40/C41*0.072)*C39)),(I192+I194))</f>
        <v>#DIV/0!</v>
      </c>
    </row>
    <row r="197" spans="1:6" ht="15.75" customHeight="1">
      <c r="A197" s="471" t="s">
        <v>547</v>
      </c>
      <c r="B197" s="472"/>
      <c r="C197" s="473"/>
      <c r="D197" s="350">
        <f>SUM(D195:D196)</f>
        <v>704.2368</v>
      </c>
      <c r="E197" s="350">
        <f>SUM(E195:E196)</f>
        <v>11.6008</v>
      </c>
      <c r="F197" s="137">
        <f>SUM(F195:F196)</f>
        <v>0</v>
      </c>
    </row>
    <row r="198" spans="1:7" ht="13.5" customHeight="1">
      <c r="A198" s="85"/>
      <c r="B198" s="14"/>
      <c r="C198" s="14"/>
      <c r="D198" s="39"/>
      <c r="E198" s="39"/>
      <c r="F198" s="39"/>
      <c r="G198" s="39"/>
    </row>
    <row r="199" spans="1:5" ht="13.5" customHeight="1">
      <c r="A199" s="4" t="s">
        <v>512</v>
      </c>
      <c r="C199" s="82"/>
      <c r="D199" s="83"/>
      <c r="E199" s="84"/>
    </row>
    <row r="200" spans="1:10" ht="13.5" customHeight="1">
      <c r="A200" s="512" t="s">
        <v>460</v>
      </c>
      <c r="B200" s="513"/>
      <c r="C200" s="513"/>
      <c r="D200" s="513"/>
      <c r="E200" s="513"/>
      <c r="F200" s="513"/>
      <c r="G200" s="514"/>
      <c r="H200" s="514"/>
      <c r="I200" s="514"/>
      <c r="J200" s="514"/>
    </row>
    <row r="201" spans="1:10" ht="60" customHeight="1">
      <c r="A201" s="515" t="s">
        <v>513</v>
      </c>
      <c r="B201" s="516"/>
      <c r="C201" s="516"/>
      <c r="D201" s="116" t="s">
        <v>259</v>
      </c>
      <c r="E201" s="55" t="s">
        <v>488</v>
      </c>
      <c r="F201" s="116" t="s">
        <v>461</v>
      </c>
      <c r="G201" s="52"/>
      <c r="H201" s="52"/>
      <c r="I201" s="52"/>
      <c r="J201" s="52"/>
    </row>
    <row r="202" spans="1:6" ht="38.25" customHeight="1">
      <c r="A202" s="517" t="s">
        <v>253</v>
      </c>
      <c r="B202" s="518"/>
      <c r="C202" s="518"/>
      <c r="D202" s="380">
        <v>0</v>
      </c>
      <c r="E202" s="378">
        <v>0</v>
      </c>
      <c r="F202" s="380">
        <v>0</v>
      </c>
    </row>
    <row r="203" spans="1:6" ht="38.25" customHeight="1">
      <c r="A203" s="556" t="s">
        <v>255</v>
      </c>
      <c r="B203" s="557"/>
      <c r="C203" s="557"/>
      <c r="D203" s="381">
        <v>0</v>
      </c>
      <c r="E203" s="382">
        <v>0</v>
      </c>
      <c r="F203" s="381">
        <v>0</v>
      </c>
    </row>
    <row r="204" spans="1:6" ht="38.25" customHeight="1">
      <c r="A204" s="566" t="s">
        <v>257</v>
      </c>
      <c r="B204" s="567"/>
      <c r="C204" s="567"/>
      <c r="D204" s="383">
        <v>0</v>
      </c>
      <c r="E204" s="379">
        <v>0</v>
      </c>
      <c r="F204" s="383">
        <v>0</v>
      </c>
    </row>
    <row r="205" spans="1:6" ht="38.25" customHeight="1">
      <c r="A205" s="519" t="s">
        <v>258</v>
      </c>
      <c r="B205" s="520"/>
      <c r="C205" s="520"/>
      <c r="D205" s="384">
        <v>0</v>
      </c>
      <c r="E205" s="385">
        <v>0</v>
      </c>
      <c r="F205" s="384">
        <v>0</v>
      </c>
    </row>
    <row r="206" spans="1:6" ht="38.25" customHeight="1">
      <c r="A206" s="543" t="s">
        <v>508</v>
      </c>
      <c r="B206" s="544"/>
      <c r="C206" s="544"/>
      <c r="D206" s="386">
        <v>0</v>
      </c>
      <c r="E206" s="387">
        <v>0</v>
      </c>
      <c r="F206" s="386">
        <v>0</v>
      </c>
    </row>
    <row r="207" spans="1:6" ht="38.25" customHeight="1">
      <c r="A207" s="547" t="s">
        <v>509</v>
      </c>
      <c r="B207" s="548"/>
      <c r="C207" s="549"/>
      <c r="D207" s="388">
        <v>0</v>
      </c>
      <c r="E207" s="389">
        <v>0</v>
      </c>
      <c r="F207" s="388">
        <v>0</v>
      </c>
    </row>
    <row r="208" spans="1:6" ht="15.75" customHeight="1">
      <c r="A208" s="538" t="s">
        <v>260</v>
      </c>
      <c r="B208" s="522"/>
      <c r="C208" s="522"/>
      <c r="D208" s="145">
        <f>SUM(D202:D202)</f>
        <v>0</v>
      </c>
      <c r="E208" s="303">
        <f>SUM(E202:E202)</f>
        <v>0</v>
      </c>
      <c r="F208" s="145">
        <f>SUM(F202:F202)</f>
        <v>0</v>
      </c>
    </row>
    <row r="209" spans="1:6" ht="15.75" customHeight="1">
      <c r="A209" s="523" t="s">
        <v>261</v>
      </c>
      <c r="B209" s="524"/>
      <c r="C209" s="524"/>
      <c r="D209" s="35">
        <f>SUM(D204:D204)</f>
        <v>0</v>
      </c>
      <c r="E209" s="36">
        <f>SUM(E204:E204)</f>
        <v>0</v>
      </c>
      <c r="F209" s="35">
        <f>SUM(F204:F204)</f>
        <v>0</v>
      </c>
    </row>
    <row r="210" spans="1:6" ht="30" customHeight="1">
      <c r="A210" s="545" t="s">
        <v>262</v>
      </c>
      <c r="B210" s="546"/>
      <c r="C210" s="546"/>
      <c r="D210" s="324">
        <f>SUM(F202:F202,F204:F204)</f>
        <v>0</v>
      </c>
      <c r="E210" s="326"/>
      <c r="F210" s="326"/>
    </row>
    <row r="211" spans="1:6" ht="15.75" customHeight="1">
      <c r="A211" s="534" t="s">
        <v>263</v>
      </c>
      <c r="B211" s="535"/>
      <c r="C211" s="535"/>
      <c r="D211" s="37">
        <f>SUM(D203:D203)</f>
        <v>0</v>
      </c>
      <c r="E211" s="38">
        <f>SUM(E203:E203)</f>
        <v>0</v>
      </c>
      <c r="F211" s="37">
        <f>SUM(F203:F203)</f>
        <v>0</v>
      </c>
    </row>
    <row r="212" spans="1:6" ht="15.75" customHeight="1">
      <c r="A212" s="536" t="s">
        <v>264</v>
      </c>
      <c r="B212" s="537"/>
      <c r="C212" s="537"/>
      <c r="D212" s="318">
        <f>SUM(D205:D205)</f>
        <v>0</v>
      </c>
      <c r="E212" s="319">
        <f>SUM(E205:E205)</f>
        <v>0</v>
      </c>
      <c r="F212" s="318">
        <f>SUM(F205:F205)</f>
        <v>0</v>
      </c>
    </row>
    <row r="213" spans="1:6" ht="15.75" customHeight="1">
      <c r="A213" s="532" t="s">
        <v>510</v>
      </c>
      <c r="B213" s="533"/>
      <c r="C213" s="533"/>
      <c r="D213" s="33">
        <f>SUM(D206:D206)</f>
        <v>0</v>
      </c>
      <c r="E213" s="34">
        <f>SUM(E206:E206)</f>
        <v>0</v>
      </c>
      <c r="F213" s="320"/>
    </row>
    <row r="214" spans="1:6" ht="15.75" customHeight="1">
      <c r="A214" s="550" t="s">
        <v>511</v>
      </c>
      <c r="B214" s="551"/>
      <c r="C214" s="551"/>
      <c r="D214" s="321">
        <f>SUM(D207:D207)</f>
        <v>0</v>
      </c>
      <c r="E214" s="322">
        <f>SUM(E207:E207)</f>
        <v>0</v>
      </c>
      <c r="F214" s="323"/>
    </row>
    <row r="215" spans="1:6" ht="15.75" customHeight="1">
      <c r="A215" s="471" t="s">
        <v>547</v>
      </c>
      <c r="B215" s="472"/>
      <c r="C215" s="473"/>
      <c r="D215" s="137">
        <f>SUM(D208:D209,D211:D212)*3.412+SUM(D213:D214)</f>
        <v>0</v>
      </c>
      <c r="E215" s="350">
        <f>SUM(E211:E214,E208:E209)</f>
        <v>0</v>
      </c>
      <c r="F215" s="137">
        <f>SUM(F208:F209,F211:F212)*3.412</f>
        <v>0</v>
      </c>
    </row>
    <row r="216" spans="1:7" ht="13.5" customHeight="1">
      <c r="A216" s="85"/>
      <c r="B216" s="14"/>
      <c r="C216" s="14"/>
      <c r="D216" s="39"/>
      <c r="E216" s="39"/>
      <c r="F216" s="39"/>
      <c r="G216" s="39"/>
    </row>
    <row r="217" spans="1:8" ht="13.5" customHeight="1">
      <c r="A217" s="4" t="str">
        <f>"1-10.  Goal-Eligible Renewable Electricity Use as a Percentage of Facility Electricity Use in FY "&amp;TEXT(Lists!N3,"0000")</f>
        <v>1-10.  Goal-Eligible Renewable Electricity Use as a Percentage of Facility Electricity Use in FY 2009</v>
      </c>
      <c r="G217" s="4" t="s">
        <v>484</v>
      </c>
      <c r="H217" s="52"/>
    </row>
    <row r="218" spans="1:8" ht="13.5" customHeight="1">
      <c r="A218" s="5" t="s">
        <v>65</v>
      </c>
      <c r="G218" s="5" t="s">
        <v>514</v>
      </c>
      <c r="H218" s="52"/>
    </row>
    <row r="219" spans="1:9" ht="51">
      <c r="A219" s="476" t="s">
        <v>60</v>
      </c>
      <c r="B219" s="477"/>
      <c r="C219" s="99" t="s">
        <v>61</v>
      </c>
      <c r="D219" s="55" t="s">
        <v>62</v>
      </c>
      <c r="E219" s="55" t="s">
        <v>56</v>
      </c>
      <c r="G219" s="55" t="s">
        <v>63</v>
      </c>
      <c r="H219" s="55" t="s">
        <v>85</v>
      </c>
      <c r="I219" s="55" t="s">
        <v>64</v>
      </c>
    </row>
    <row r="220" spans="1:9" ht="15" customHeight="1">
      <c r="A220" s="541" t="s">
        <v>142</v>
      </c>
      <c r="B220" s="542"/>
      <c r="C220" s="118">
        <f>SUM(C221:C223)</f>
        <v>249.26500000000007</v>
      </c>
      <c r="D220" s="119">
        <f>C12+C19+C29+C36</f>
        <v>8011.003</v>
      </c>
      <c r="E220" s="11">
        <f>C220/D$220</f>
        <v>0.03111532975334051</v>
      </c>
      <c r="G220" s="40">
        <f>(SUM(D193,D194,E158:E160,E148:E149)/1000)+((C221+E162+D191+D192)*0.003412)</f>
        <v>1.39769716</v>
      </c>
      <c r="H220" s="41">
        <f>G12+G29+G19+G36</f>
        <v>27.333000000000002</v>
      </c>
      <c r="I220" s="42">
        <f>G220/H220</f>
        <v>0.05113588555957999</v>
      </c>
    </row>
    <row r="221" spans="1:3" ht="15" customHeight="1">
      <c r="A221" s="510" t="s">
        <v>143</v>
      </c>
      <c r="B221" s="485"/>
      <c r="C221" s="43">
        <f>((E161)+(D188+D189)+(I170))</f>
        <v>227.93000000000004</v>
      </c>
    </row>
    <row r="222" spans="1:3" ht="15" customHeight="1">
      <c r="A222" s="510" t="s">
        <v>88</v>
      </c>
      <c r="B222" s="511"/>
      <c r="C222" s="44">
        <f>F161+D190</f>
        <v>21.335000000000033</v>
      </c>
    </row>
    <row r="223" spans="1:3" ht="15" customHeight="1">
      <c r="A223" s="539" t="s">
        <v>144</v>
      </c>
      <c r="B223" s="540"/>
      <c r="C223" s="17">
        <f>IF(((D188+D189+E161+F161+I170+((D193+E163)/3.412))&gt;=(D220*0.015)),(E162+D191+D192+I171),IF(((E162+D191+D192+I171)&lt;=(D220*0.015)),(E162+D191+D192+I171),(D220*0.015)))</f>
        <v>0</v>
      </c>
    </row>
    <row r="224" ht="13.5" customHeight="1"/>
    <row r="225" ht="18" customHeight="1">
      <c r="A225" s="19" t="s">
        <v>387</v>
      </c>
    </row>
    <row r="226" ht="13.5" customHeight="1"/>
    <row r="227" ht="13.5" customHeight="1" hidden="1">
      <c r="A227" s="4" t="s">
        <v>265</v>
      </c>
    </row>
    <row r="228" spans="1:6" ht="13.5" customHeight="1" hidden="1">
      <c r="A228" s="110"/>
      <c r="B228" s="111"/>
      <c r="C228" s="474" t="str">
        <f>"FY "&amp;TEXT(Lists!N3,"0000")</f>
        <v>FY 2009</v>
      </c>
      <c r="D228" s="475"/>
      <c r="E228" s="474" t="str">
        <f>"Projected FY "&amp;TEXT(Lists!N3+1,"0000")</f>
        <v>Projected FY 2010</v>
      </c>
      <c r="F228" s="475"/>
    </row>
    <row r="229" spans="1:9" ht="13.5" customHeight="1" hidden="1">
      <c r="A229" s="112"/>
      <c r="B229" s="57"/>
      <c r="C229" s="57" t="s">
        <v>66</v>
      </c>
      <c r="D229" s="56" t="s">
        <v>25</v>
      </c>
      <c r="E229" s="57" t="s">
        <v>66</v>
      </c>
      <c r="F229" s="56" t="s">
        <v>25</v>
      </c>
      <c r="G229" s="88"/>
      <c r="H229" s="88"/>
      <c r="I229" s="88"/>
    </row>
    <row r="230" spans="1:6" ht="39.75" customHeight="1" hidden="1">
      <c r="A230" s="488" t="s">
        <v>36</v>
      </c>
      <c r="B230" s="485"/>
      <c r="C230" s="89"/>
      <c r="D230" s="390">
        <v>0</v>
      </c>
      <c r="E230" s="89"/>
      <c r="F230" s="390">
        <v>0</v>
      </c>
    </row>
    <row r="231" spans="1:6" ht="30" customHeight="1" hidden="1">
      <c r="A231" s="483" t="s">
        <v>39</v>
      </c>
      <c r="B231" s="485"/>
      <c r="C231" s="391">
        <v>0</v>
      </c>
      <c r="D231" s="390">
        <v>0</v>
      </c>
      <c r="E231" s="391">
        <v>0</v>
      </c>
      <c r="F231" s="390">
        <v>0</v>
      </c>
    </row>
    <row r="232" spans="1:4" ht="13.5" customHeight="1" hidden="1">
      <c r="A232" s="86"/>
      <c r="B232" s="86"/>
      <c r="C232" s="90"/>
      <c r="D232" s="52"/>
    </row>
    <row r="233" spans="1:8" ht="13.5" customHeight="1">
      <c r="A233" s="490" t="s">
        <v>515</v>
      </c>
      <c r="B233" s="491"/>
      <c r="C233" s="491"/>
      <c r="D233" s="491"/>
      <c r="E233" s="91"/>
      <c r="H233" s="92"/>
    </row>
    <row r="234" spans="1:8" ht="30" customHeight="1">
      <c r="A234" s="100"/>
      <c r="B234" s="99"/>
      <c r="C234" s="55" t="s">
        <v>516</v>
      </c>
      <c r="D234" s="55" t="s">
        <v>266</v>
      </c>
      <c r="E234" s="87"/>
      <c r="F234" s="87"/>
      <c r="H234" s="92"/>
    </row>
    <row r="235" spans="1:4" ht="39.75" customHeight="1">
      <c r="A235" s="488" t="s">
        <v>551</v>
      </c>
      <c r="B235" s="489"/>
      <c r="C235" s="235">
        <v>0</v>
      </c>
      <c r="D235" s="235">
        <v>0</v>
      </c>
    </row>
    <row r="236" spans="1:4" ht="30" customHeight="1">
      <c r="A236" s="483" t="s">
        <v>41</v>
      </c>
      <c r="B236" s="484"/>
      <c r="C236" s="485"/>
      <c r="D236" s="234">
        <v>0</v>
      </c>
    </row>
    <row r="237" spans="1:4" ht="30" customHeight="1">
      <c r="A237" s="483" t="s">
        <v>42</v>
      </c>
      <c r="B237" s="484"/>
      <c r="C237" s="485"/>
      <c r="D237" s="234">
        <v>0</v>
      </c>
    </row>
    <row r="238" spans="1:4" ht="30" customHeight="1">
      <c r="A238" s="483" t="s">
        <v>45</v>
      </c>
      <c r="B238" s="484"/>
      <c r="C238" s="485"/>
      <c r="D238" s="234">
        <v>0</v>
      </c>
    </row>
    <row r="239" spans="1:4" ht="39.75" customHeight="1">
      <c r="A239" s="483" t="s">
        <v>47</v>
      </c>
      <c r="B239" s="484"/>
      <c r="C239" s="485"/>
      <c r="D239" s="234">
        <v>0</v>
      </c>
    </row>
    <row r="240" spans="1:4" ht="30" customHeight="1">
      <c r="A240" s="488" t="s">
        <v>72</v>
      </c>
      <c r="B240" s="486"/>
      <c r="C240" s="485"/>
      <c r="D240" s="234">
        <v>0</v>
      </c>
    </row>
    <row r="241" ht="13.5" customHeight="1"/>
    <row r="242" ht="13.5" customHeight="1">
      <c r="A242" s="4" t="s">
        <v>517</v>
      </c>
    </row>
    <row r="243" spans="1:4" ht="30" customHeight="1">
      <c r="A243" s="109"/>
      <c r="B243" s="99"/>
      <c r="C243" s="55" t="s">
        <v>516</v>
      </c>
      <c r="D243" s="55" t="s">
        <v>266</v>
      </c>
    </row>
    <row r="244" spans="1:4" ht="39.75" customHeight="1">
      <c r="A244" s="488" t="s">
        <v>550</v>
      </c>
      <c r="B244" s="489"/>
      <c r="C244" s="235">
        <v>0</v>
      </c>
      <c r="D244" s="235">
        <v>0</v>
      </c>
    </row>
    <row r="245" spans="1:4" ht="30" customHeight="1">
      <c r="A245" s="483" t="s">
        <v>43</v>
      </c>
      <c r="B245" s="484"/>
      <c r="C245" s="485"/>
      <c r="D245" s="234">
        <v>0</v>
      </c>
    </row>
    <row r="246" spans="1:4" ht="30" customHeight="1">
      <c r="A246" s="483" t="s">
        <v>44</v>
      </c>
      <c r="B246" s="484"/>
      <c r="C246" s="485"/>
      <c r="D246" s="234">
        <v>0</v>
      </c>
    </row>
    <row r="247" spans="1:4" ht="30" customHeight="1">
      <c r="A247" s="483" t="s">
        <v>46</v>
      </c>
      <c r="B247" s="484"/>
      <c r="C247" s="485"/>
      <c r="D247" s="234">
        <v>0</v>
      </c>
    </row>
    <row r="248" spans="1:4" ht="39.75" customHeight="1">
      <c r="A248" s="483" t="s">
        <v>48</v>
      </c>
      <c r="B248" s="484"/>
      <c r="C248" s="485"/>
      <c r="D248" s="234">
        <v>0</v>
      </c>
    </row>
    <row r="249" spans="1:9" s="87" customFormat="1" ht="30" customHeight="1">
      <c r="A249" s="488" t="s">
        <v>40</v>
      </c>
      <c r="B249" s="486"/>
      <c r="C249" s="485"/>
      <c r="D249" s="234">
        <v>0</v>
      </c>
      <c r="E249" s="5"/>
      <c r="F249" s="5"/>
      <c r="G249" s="5"/>
      <c r="H249" s="5"/>
      <c r="I249" s="5"/>
    </row>
    <row r="250" spans="1:9" s="87" customFormat="1" ht="13.5" customHeight="1">
      <c r="A250" s="5"/>
      <c r="B250" s="5"/>
      <c r="C250" s="5"/>
      <c r="D250" s="5"/>
      <c r="E250" s="5"/>
      <c r="F250" s="5"/>
      <c r="G250" s="5"/>
      <c r="H250" s="5"/>
      <c r="I250" s="5"/>
    </row>
    <row r="251" ht="13.5" customHeight="1">
      <c r="A251" s="4" t="s">
        <v>337</v>
      </c>
    </row>
    <row r="252" ht="13.5" customHeight="1">
      <c r="A252" s="5" t="s">
        <v>549</v>
      </c>
    </row>
    <row r="253" spans="1:7" ht="13.5" customHeight="1">
      <c r="A253" s="164" t="s">
        <v>338</v>
      </c>
      <c r="B253" s="162"/>
      <c r="C253" s="162"/>
      <c r="D253" s="162"/>
      <c r="E253" s="392" t="s">
        <v>154</v>
      </c>
      <c r="F253" s="162"/>
      <c r="G253" s="163"/>
    </row>
    <row r="254" spans="1:7" ht="13.5" customHeight="1">
      <c r="A254" s="105"/>
      <c r="B254" s="106" t="s">
        <v>89</v>
      </c>
      <c r="C254" s="107"/>
      <c r="D254" s="107" t="s">
        <v>113</v>
      </c>
      <c r="E254" s="107"/>
      <c r="F254" s="107" t="s">
        <v>145</v>
      </c>
      <c r="G254" s="107"/>
    </row>
    <row r="255" spans="1:7" ht="39.75" customHeight="1">
      <c r="A255" s="108" t="s">
        <v>243</v>
      </c>
      <c r="B255" s="99" t="s">
        <v>114</v>
      </c>
      <c r="C255" s="55" t="s">
        <v>115</v>
      </c>
      <c r="D255" s="99" t="s">
        <v>114</v>
      </c>
      <c r="E255" s="55" t="s">
        <v>115</v>
      </c>
      <c r="F255" s="99" t="s">
        <v>146</v>
      </c>
      <c r="G255" s="55" t="s">
        <v>147</v>
      </c>
    </row>
    <row r="256" spans="1:7" ht="13.5" customHeight="1">
      <c r="A256" s="304" t="str">
        <f>TEXT($B$5,"0000")</f>
        <v>2009</v>
      </c>
      <c r="B256" s="305">
        <v>0</v>
      </c>
      <c r="C256" s="306">
        <v>0</v>
      </c>
      <c r="D256" s="305">
        <v>4</v>
      </c>
      <c r="E256" s="306">
        <v>1</v>
      </c>
      <c r="F256" s="305">
        <v>10</v>
      </c>
      <c r="G256" s="307">
        <f>(B256+D256)/F256</f>
        <v>0.4</v>
      </c>
    </row>
    <row r="257" spans="1:7" ht="13.5" customHeight="1">
      <c r="A257" s="308" t="str">
        <f>TEXT($B$5+1,"0000")&amp;" Planned"</f>
        <v>2010 Planned</v>
      </c>
      <c r="B257" s="305">
        <v>0</v>
      </c>
      <c r="C257" s="306">
        <v>0</v>
      </c>
      <c r="D257" s="305">
        <v>8</v>
      </c>
      <c r="E257" s="306">
        <v>1</v>
      </c>
      <c r="F257" s="305">
        <v>10</v>
      </c>
      <c r="G257" s="307">
        <f>(B257+D257)/F257</f>
        <v>0.8</v>
      </c>
    </row>
    <row r="258" spans="1:7" ht="13.5" customHeight="1">
      <c r="A258" s="308" t="str">
        <f>TEXT($B$5+2,"0000")&amp;" Planned"</f>
        <v>2011 Planned</v>
      </c>
      <c r="B258" s="305">
        <v>0</v>
      </c>
      <c r="C258" s="306">
        <v>0</v>
      </c>
      <c r="D258" s="305">
        <v>0</v>
      </c>
      <c r="E258" s="306">
        <v>0</v>
      </c>
      <c r="F258" s="305">
        <v>0</v>
      </c>
      <c r="G258" s="307" t="e">
        <f>(B258+D258)/F258</f>
        <v>#DIV/0!</v>
      </c>
    </row>
    <row r="259" spans="1:7" ht="13.5" customHeight="1">
      <c r="A259" s="308" t="str">
        <f>TEXT($B$5+3,"0000")&amp;" Planned"</f>
        <v>2012 Planned</v>
      </c>
      <c r="B259" s="305">
        <v>0</v>
      </c>
      <c r="C259" s="306">
        <v>0</v>
      </c>
      <c r="D259" s="305">
        <v>0</v>
      </c>
      <c r="E259" s="306">
        <v>0</v>
      </c>
      <c r="F259" s="305">
        <v>0</v>
      </c>
      <c r="G259" s="307" t="e">
        <f>(B259+D259)/F259</f>
        <v>#DIV/0!</v>
      </c>
    </row>
    <row r="260" ht="13.5" customHeight="1"/>
    <row r="261" ht="13.5" customHeight="1">
      <c r="A261" s="4" t="s">
        <v>339</v>
      </c>
    </row>
    <row r="262" spans="1:7" ht="13.5" customHeight="1">
      <c r="A262" s="105"/>
      <c r="B262" s="106" t="s">
        <v>89</v>
      </c>
      <c r="C262" s="107"/>
      <c r="D262" s="107" t="s">
        <v>113</v>
      </c>
      <c r="E262" s="107"/>
      <c r="F262" s="107" t="s">
        <v>145</v>
      </c>
      <c r="G262" s="107"/>
    </row>
    <row r="263" spans="1:7" ht="38.25">
      <c r="A263" s="108" t="s">
        <v>243</v>
      </c>
      <c r="B263" s="99" t="s">
        <v>114</v>
      </c>
      <c r="C263" s="55" t="s">
        <v>340</v>
      </c>
      <c r="D263" s="99" t="s">
        <v>114</v>
      </c>
      <c r="E263" s="55" t="s">
        <v>340</v>
      </c>
      <c r="F263" s="99" t="s">
        <v>146</v>
      </c>
      <c r="G263" s="55" t="s">
        <v>147</v>
      </c>
    </row>
    <row r="264" spans="1:7" ht="13.5" customHeight="1">
      <c r="A264" s="304" t="str">
        <f>TEXT($B$5,"0000")</f>
        <v>2009</v>
      </c>
      <c r="B264" s="305">
        <v>5</v>
      </c>
      <c r="C264" s="306">
        <v>0.99</v>
      </c>
      <c r="D264" s="305">
        <v>0</v>
      </c>
      <c r="E264" s="306">
        <v>0</v>
      </c>
      <c r="F264" s="305">
        <v>6</v>
      </c>
      <c r="G264" s="307">
        <f>(B264+D264)/F264</f>
        <v>0.8333333333333334</v>
      </c>
    </row>
    <row r="265" spans="1:7" ht="13.5" customHeight="1">
      <c r="A265" s="308" t="str">
        <f>TEXT($B$5+1,"0000")&amp;" Planned"</f>
        <v>2010 Planned</v>
      </c>
      <c r="B265" s="309">
        <v>6</v>
      </c>
      <c r="C265" s="306">
        <v>0.99</v>
      </c>
      <c r="D265" s="309">
        <v>0</v>
      </c>
      <c r="E265" s="306">
        <v>0</v>
      </c>
      <c r="F265" s="305">
        <v>7</v>
      </c>
      <c r="G265" s="307">
        <f>(B265+D265)/F265</f>
        <v>0.8571428571428571</v>
      </c>
    </row>
    <row r="266" spans="1:7" ht="13.5" customHeight="1">
      <c r="A266" s="308" t="str">
        <f>TEXT($B$5+2,"0000")&amp;" Planned"</f>
        <v>2011 Planned</v>
      </c>
      <c r="B266" s="309">
        <v>0</v>
      </c>
      <c r="C266" s="306">
        <v>0</v>
      </c>
      <c r="D266" s="309">
        <v>0</v>
      </c>
      <c r="E266" s="306">
        <v>0</v>
      </c>
      <c r="F266" s="305">
        <v>0</v>
      </c>
      <c r="G266" s="307" t="e">
        <f>(B266+D266)/F266</f>
        <v>#DIV/0!</v>
      </c>
    </row>
    <row r="267" spans="1:7" ht="13.5" customHeight="1">
      <c r="A267" s="308" t="str">
        <f>TEXT($B$5+3,"0000")&amp;" Planned"</f>
        <v>2012 Planned</v>
      </c>
      <c r="B267" s="309">
        <v>0</v>
      </c>
      <c r="C267" s="306">
        <v>0</v>
      </c>
      <c r="D267" s="309">
        <v>0</v>
      </c>
      <c r="E267" s="306">
        <v>0</v>
      </c>
      <c r="F267" s="305">
        <v>0</v>
      </c>
      <c r="G267" s="307" t="e">
        <f>(B267+D267)/F267</f>
        <v>#DIV/0!</v>
      </c>
    </row>
    <row r="268" ht="13.5" customHeight="1"/>
    <row r="269" ht="13.5" customHeight="1">
      <c r="A269" s="4" t="s">
        <v>341</v>
      </c>
    </row>
    <row r="270" spans="1:7" ht="13.5" customHeight="1">
      <c r="A270" s="105"/>
      <c r="B270" s="106" t="s">
        <v>89</v>
      </c>
      <c r="C270" s="107"/>
      <c r="D270" s="107" t="s">
        <v>113</v>
      </c>
      <c r="E270" s="107"/>
      <c r="F270" s="107" t="s">
        <v>145</v>
      </c>
      <c r="G270" s="107"/>
    </row>
    <row r="271" spans="1:7" ht="38.25">
      <c r="A271" s="108" t="s">
        <v>243</v>
      </c>
      <c r="B271" s="99" t="s">
        <v>114</v>
      </c>
      <c r="C271" s="55" t="s">
        <v>342</v>
      </c>
      <c r="D271" s="99" t="s">
        <v>114</v>
      </c>
      <c r="E271" s="55" t="s">
        <v>342</v>
      </c>
      <c r="F271" s="99" t="s">
        <v>146</v>
      </c>
      <c r="G271" s="55" t="s">
        <v>147</v>
      </c>
    </row>
    <row r="272" spans="1:7" ht="13.5" customHeight="1">
      <c r="A272" s="304" t="str">
        <f>TEXT($B$5,"0000")</f>
        <v>2009</v>
      </c>
      <c r="B272" s="305">
        <v>0</v>
      </c>
      <c r="C272" s="306">
        <v>0</v>
      </c>
      <c r="D272" s="305">
        <v>0</v>
      </c>
      <c r="E272" s="306">
        <v>0</v>
      </c>
      <c r="F272" s="305">
        <v>0</v>
      </c>
      <c r="G272" s="307" t="e">
        <f>(B272+D272)/F272</f>
        <v>#DIV/0!</v>
      </c>
    </row>
    <row r="273" spans="1:7" ht="13.5" customHeight="1">
      <c r="A273" s="308" t="str">
        <f>TEXT($B$5+1,"0000")&amp;" Planned"</f>
        <v>2010 Planned</v>
      </c>
      <c r="B273" s="309">
        <v>0</v>
      </c>
      <c r="C273" s="306">
        <v>0</v>
      </c>
      <c r="D273" s="309">
        <v>0</v>
      </c>
      <c r="E273" s="306">
        <v>0</v>
      </c>
      <c r="F273" s="305">
        <v>0</v>
      </c>
      <c r="G273" s="307" t="e">
        <f>(B273+D273)/F273</f>
        <v>#DIV/0!</v>
      </c>
    </row>
    <row r="274" spans="1:7" ht="13.5" customHeight="1">
      <c r="A274" s="308" t="str">
        <f>TEXT($B$5+2,"0000")&amp;" Planned"</f>
        <v>2011 Planned</v>
      </c>
      <c r="B274" s="309">
        <v>0</v>
      </c>
      <c r="C274" s="306">
        <v>0</v>
      </c>
      <c r="D274" s="309">
        <v>0</v>
      </c>
      <c r="E274" s="306">
        <v>0</v>
      </c>
      <c r="F274" s="305">
        <v>0</v>
      </c>
      <c r="G274" s="307" t="e">
        <f>(B274+D274)/F274</f>
        <v>#DIV/0!</v>
      </c>
    </row>
    <row r="275" spans="1:7" ht="13.5" customHeight="1">
      <c r="A275" s="308" t="str">
        <f>TEXT($B$5+3,"0000")&amp;" Planned"</f>
        <v>2012 Planned</v>
      </c>
      <c r="B275" s="309">
        <v>0</v>
      </c>
      <c r="C275" s="306">
        <v>0</v>
      </c>
      <c r="D275" s="309">
        <v>0</v>
      </c>
      <c r="E275" s="306">
        <v>0</v>
      </c>
      <c r="F275" s="305">
        <v>0</v>
      </c>
      <c r="G275" s="307" t="e">
        <f>(B275+D275)/F275</f>
        <v>#DIV/0!</v>
      </c>
    </row>
    <row r="276" ht="13.5" customHeight="1"/>
    <row r="277" ht="13.5" customHeight="1">
      <c r="A277" s="4" t="s">
        <v>343</v>
      </c>
    </row>
    <row r="278" spans="1:7" ht="13.5" customHeight="1">
      <c r="A278" s="105"/>
      <c r="B278" s="106" t="s">
        <v>89</v>
      </c>
      <c r="C278" s="107"/>
      <c r="D278" s="107" t="s">
        <v>113</v>
      </c>
      <c r="E278" s="107"/>
      <c r="F278" s="107" t="s">
        <v>145</v>
      </c>
      <c r="G278" s="107"/>
    </row>
    <row r="279" spans="1:7" ht="38.25">
      <c r="A279" s="108" t="s">
        <v>243</v>
      </c>
      <c r="B279" s="99" t="s">
        <v>114</v>
      </c>
      <c r="C279" s="55" t="s">
        <v>344</v>
      </c>
      <c r="D279" s="99" t="s">
        <v>114</v>
      </c>
      <c r="E279" s="55" t="s">
        <v>344</v>
      </c>
      <c r="F279" s="99" t="s">
        <v>146</v>
      </c>
      <c r="G279" s="55" t="s">
        <v>147</v>
      </c>
    </row>
    <row r="280" spans="1:7" ht="13.5" customHeight="1">
      <c r="A280" s="304" t="str">
        <f>TEXT($B$5,"0000")</f>
        <v>2009</v>
      </c>
      <c r="B280" s="305">
        <v>0</v>
      </c>
      <c r="C280" s="306">
        <v>0</v>
      </c>
      <c r="D280" s="305">
        <v>0</v>
      </c>
      <c r="E280" s="306">
        <v>0</v>
      </c>
      <c r="F280" s="305">
        <v>0</v>
      </c>
      <c r="G280" s="307" t="e">
        <f>(B280+D280)/F280</f>
        <v>#DIV/0!</v>
      </c>
    </row>
    <row r="281" spans="1:7" ht="13.5" customHeight="1">
      <c r="A281" s="308" t="str">
        <f>TEXT($B$5+1,"0000")&amp;" Planned"</f>
        <v>2010 Planned</v>
      </c>
      <c r="B281" s="309">
        <v>0</v>
      </c>
      <c r="C281" s="306">
        <v>0</v>
      </c>
      <c r="D281" s="309">
        <v>0</v>
      </c>
      <c r="E281" s="306">
        <v>0</v>
      </c>
      <c r="F281" s="305">
        <v>0</v>
      </c>
      <c r="G281" s="307" t="e">
        <f>(B281+D281)/F281</f>
        <v>#DIV/0!</v>
      </c>
    </row>
    <row r="282" spans="1:7" ht="13.5" customHeight="1">
      <c r="A282" s="308" t="str">
        <f>TEXT($B$5+2,"0000")&amp;" Planned"</f>
        <v>2011 Planned</v>
      </c>
      <c r="B282" s="309">
        <v>0</v>
      </c>
      <c r="C282" s="306">
        <v>0</v>
      </c>
      <c r="D282" s="309">
        <v>0</v>
      </c>
      <c r="E282" s="306">
        <v>0</v>
      </c>
      <c r="F282" s="305">
        <v>0</v>
      </c>
      <c r="G282" s="307" t="e">
        <f>(B282+D282)/F282</f>
        <v>#DIV/0!</v>
      </c>
    </row>
    <row r="283" spans="1:7" ht="13.5" customHeight="1">
      <c r="A283" s="308" t="str">
        <f>TEXT($B$5+3,"0000")&amp;" Planned"</f>
        <v>2012 Planned</v>
      </c>
      <c r="B283" s="309">
        <v>0</v>
      </c>
      <c r="C283" s="306">
        <v>0</v>
      </c>
      <c r="D283" s="309">
        <v>0</v>
      </c>
      <c r="E283" s="306">
        <v>0</v>
      </c>
      <c r="F283" s="305">
        <v>0</v>
      </c>
      <c r="G283" s="307" t="e">
        <f>(B283+D283)/F283</f>
        <v>#DIV/0!</v>
      </c>
    </row>
    <row r="284" ht="13.5" customHeight="1">
      <c r="A284" s="4"/>
    </row>
    <row r="285" ht="13.5" customHeight="1" hidden="1">
      <c r="A285" s="4" t="s">
        <v>269</v>
      </c>
    </row>
    <row r="286" spans="1:5" ht="39.75" customHeight="1" hidden="1">
      <c r="A286" s="93"/>
      <c r="B286" s="94"/>
      <c r="C286" s="94"/>
      <c r="D286" s="94"/>
      <c r="E286" s="102" t="s">
        <v>129</v>
      </c>
    </row>
    <row r="287" spans="1:5" ht="13.5" customHeight="1" hidden="1">
      <c r="A287" s="480" t="str">
        <f>'7. New Bldg Construction'!A61:F61</f>
        <v>Total new building designs started since beginning of FY 2007:</v>
      </c>
      <c r="B287" s="481"/>
      <c r="C287" s="481"/>
      <c r="D287" s="482"/>
      <c r="E287" s="312">
        <f>'7. New Bldg Construction'!G61</f>
        <v>0</v>
      </c>
    </row>
    <row r="288" spans="1:5" ht="30" customHeight="1" hidden="1">
      <c r="A288" s="492" t="str">
        <f>'7. New Bldg Construction'!A62:F62</f>
        <v>Total new building designs started since beginning of FY 2007 expected to be 30% more energy efficient than relevant code, where life-cycle cost effective:</v>
      </c>
      <c r="B288" s="493"/>
      <c r="C288" s="493"/>
      <c r="D288" s="494"/>
      <c r="E288" s="311">
        <f>'7. New Bldg Construction'!G62</f>
        <v>1</v>
      </c>
    </row>
    <row r="289" spans="1:5" ht="12.75" hidden="1">
      <c r="A289" s="95"/>
      <c r="B289" s="96"/>
      <c r="C289" s="97"/>
      <c r="D289" s="103"/>
      <c r="E289" s="104" t="s">
        <v>67</v>
      </c>
    </row>
    <row r="290" spans="1:5" ht="30" customHeight="1" hidden="1">
      <c r="A290" s="492" t="s">
        <v>0</v>
      </c>
      <c r="B290" s="493"/>
      <c r="C290" s="493"/>
      <c r="D290" s="494"/>
      <c r="E290" s="45" t="e">
        <f>E288/E287</f>
        <v>#DIV/0!</v>
      </c>
    </row>
    <row r="291" ht="13.5" customHeight="1" hidden="1">
      <c r="A291" s="4"/>
    </row>
    <row r="292" ht="13.5" customHeight="1">
      <c r="A292" s="4" t="s">
        <v>268</v>
      </c>
    </row>
    <row r="293" spans="1:9" s="87" customFormat="1" ht="13.5" customHeight="1">
      <c r="A293" s="496"/>
      <c r="B293" s="487"/>
      <c r="C293" s="55" t="s">
        <v>267</v>
      </c>
      <c r="D293" s="55" t="s">
        <v>25</v>
      </c>
      <c r="E293" s="5"/>
      <c r="F293" s="5"/>
      <c r="G293" s="5"/>
      <c r="H293" s="5"/>
      <c r="I293" s="5"/>
    </row>
    <row r="294" spans="1:9" s="87" customFormat="1" ht="30" customHeight="1">
      <c r="A294" s="508" t="str">
        <f>"Number of personnel trained in 
FY "&amp;TEXT(Lists!N3,"0000")&amp;"/Expenditure"</f>
        <v>Number of personnel trained in 
FY 2009/Expenditure</v>
      </c>
      <c r="B294" s="495"/>
      <c r="C294" s="310">
        <v>937</v>
      </c>
      <c r="D294" s="298">
        <f>56615/1000</f>
        <v>56.615</v>
      </c>
      <c r="E294" s="5"/>
      <c r="F294" s="5"/>
      <c r="G294" s="5"/>
      <c r="H294" s="5"/>
      <c r="I294" s="5"/>
    </row>
    <row r="295" ht="13.5" customHeight="1"/>
  </sheetData>
  <sheetProtection insertRows="0"/>
  <mergeCells count="157">
    <mergeCell ref="A210:C210"/>
    <mergeCell ref="A207:C207"/>
    <mergeCell ref="A208:C208"/>
    <mergeCell ref="A215:C215"/>
    <mergeCell ref="A213:C213"/>
    <mergeCell ref="A214:C214"/>
    <mergeCell ref="A211:C211"/>
    <mergeCell ref="A212:C212"/>
    <mergeCell ref="A206:C206"/>
    <mergeCell ref="A204:C204"/>
    <mergeCell ref="A203:C203"/>
    <mergeCell ref="A209:C209"/>
    <mergeCell ref="A63:B63"/>
    <mergeCell ref="A141:F141"/>
    <mergeCell ref="A151:F151"/>
    <mergeCell ref="A75:B75"/>
    <mergeCell ref="C123:C125"/>
    <mergeCell ref="D123:D125"/>
    <mergeCell ref="E106:H106"/>
    <mergeCell ref="A74:B74"/>
    <mergeCell ref="A106:A108"/>
    <mergeCell ref="A123:A125"/>
    <mergeCell ref="E45:F45"/>
    <mergeCell ref="A51:B51"/>
    <mergeCell ref="A52:B52"/>
    <mergeCell ref="A62:B62"/>
    <mergeCell ref="A165:C165"/>
    <mergeCell ref="A159:C159"/>
    <mergeCell ref="H107:H108"/>
    <mergeCell ref="G107:G108"/>
    <mergeCell ref="A138:F138"/>
    <mergeCell ref="D106:D108"/>
    <mergeCell ref="C106:C108"/>
    <mergeCell ref="B106:B108"/>
    <mergeCell ref="A164:C164"/>
    <mergeCell ref="A144:C144"/>
    <mergeCell ref="I123:I125"/>
    <mergeCell ref="E124:F124"/>
    <mergeCell ref="G124:G125"/>
    <mergeCell ref="H124:H125"/>
    <mergeCell ref="E123:H123"/>
    <mergeCell ref="A148:C148"/>
    <mergeCell ref="A147:C147"/>
    <mergeCell ref="A146:C146"/>
    <mergeCell ref="A140:C140"/>
    <mergeCell ref="A142:C142"/>
    <mergeCell ref="A145:C145"/>
    <mergeCell ref="A143:C143"/>
    <mergeCell ref="A1:I1"/>
    <mergeCell ref="E79:F79"/>
    <mergeCell ref="E11:F11"/>
    <mergeCell ref="E28:F28"/>
    <mergeCell ref="A41:B41"/>
    <mergeCell ref="A40:B40"/>
    <mergeCell ref="A22:B22"/>
    <mergeCell ref="A73:B73"/>
    <mergeCell ref="E67:F67"/>
    <mergeCell ref="E56:F56"/>
    <mergeCell ref="A175:C175"/>
    <mergeCell ref="G183:H183"/>
    <mergeCell ref="G184:H184"/>
    <mergeCell ref="G185:H185"/>
    <mergeCell ref="A177:C177"/>
    <mergeCell ref="A23:B23"/>
    <mergeCell ref="A39:B39"/>
    <mergeCell ref="A24:B24"/>
    <mergeCell ref="G178:H178"/>
    <mergeCell ref="B123:B125"/>
    <mergeCell ref="A139:F139"/>
    <mergeCell ref="E107:F107"/>
    <mergeCell ref="A152:C152"/>
    <mergeCell ref="A162:C162"/>
    <mergeCell ref="A149:C149"/>
    <mergeCell ref="A156:C156"/>
    <mergeCell ref="A157:C157"/>
    <mergeCell ref="A161:C161"/>
    <mergeCell ref="A182:C182"/>
    <mergeCell ref="A181:C181"/>
    <mergeCell ref="A178:C178"/>
    <mergeCell ref="A180:C180"/>
    <mergeCell ref="A163:C163"/>
    <mergeCell ref="A170:G170"/>
    <mergeCell ref="A176:C176"/>
    <mergeCell ref="G186:H186"/>
    <mergeCell ref="G187:H187"/>
    <mergeCell ref="A183:C183"/>
    <mergeCell ref="G176:H176"/>
    <mergeCell ref="G177:H177"/>
    <mergeCell ref="G180:H180"/>
    <mergeCell ref="G182:H182"/>
    <mergeCell ref="G179:H179"/>
    <mergeCell ref="G181:H181"/>
    <mergeCell ref="A179:C179"/>
    <mergeCell ref="I106:I108"/>
    <mergeCell ref="A174:J174"/>
    <mergeCell ref="G175:H175"/>
    <mergeCell ref="A153:C153"/>
    <mergeCell ref="A154:C154"/>
    <mergeCell ref="A158:C158"/>
    <mergeCell ref="A160:C160"/>
    <mergeCell ref="A155:C155"/>
    <mergeCell ref="A150:C150"/>
    <mergeCell ref="A171:G171"/>
    <mergeCell ref="A239:C239"/>
    <mergeCell ref="A231:B231"/>
    <mergeCell ref="A230:B230"/>
    <mergeCell ref="A236:C236"/>
    <mergeCell ref="A237:C237"/>
    <mergeCell ref="A238:C238"/>
    <mergeCell ref="C228:D228"/>
    <mergeCell ref="A223:B223"/>
    <mergeCell ref="A220:B220"/>
    <mergeCell ref="A184:C184"/>
    <mergeCell ref="A195:C195"/>
    <mergeCell ref="A186:C186"/>
    <mergeCell ref="A190:C190"/>
    <mergeCell ref="A187:C187"/>
    <mergeCell ref="A185:C185"/>
    <mergeCell ref="A194:C194"/>
    <mergeCell ref="I194:I195"/>
    <mergeCell ref="A189:C189"/>
    <mergeCell ref="G190:H190"/>
    <mergeCell ref="G188:H189"/>
    <mergeCell ref="I188:I189"/>
    <mergeCell ref="I192:I193"/>
    <mergeCell ref="A193:C193"/>
    <mergeCell ref="A191:C191"/>
    <mergeCell ref="A192:C192"/>
    <mergeCell ref="A188:C188"/>
    <mergeCell ref="A249:C249"/>
    <mergeCell ref="A247:C247"/>
    <mergeCell ref="A246:C246"/>
    <mergeCell ref="A245:C245"/>
    <mergeCell ref="A197:C197"/>
    <mergeCell ref="E228:F228"/>
    <mergeCell ref="A219:B219"/>
    <mergeCell ref="A196:C196"/>
    <mergeCell ref="A221:B221"/>
    <mergeCell ref="A222:B222"/>
    <mergeCell ref="A200:J200"/>
    <mergeCell ref="A201:C201"/>
    <mergeCell ref="A202:C202"/>
    <mergeCell ref="A205:C205"/>
    <mergeCell ref="A294:B294"/>
    <mergeCell ref="A293:B293"/>
    <mergeCell ref="A235:B235"/>
    <mergeCell ref="A233:D233"/>
    <mergeCell ref="A288:D288"/>
    <mergeCell ref="A287:D287"/>
    <mergeCell ref="A290:D290"/>
    <mergeCell ref="A248:C248"/>
    <mergeCell ref="A240:C240"/>
    <mergeCell ref="A244:B244"/>
    <mergeCell ref="G196:H196"/>
    <mergeCell ref="G192:H193"/>
    <mergeCell ref="G194:H195"/>
    <mergeCell ref="G191:H191"/>
  </mergeCells>
  <dataValidations count="1">
    <dataValidation type="list" allowBlank="1" showInputMessage="1" showErrorMessage="1" prompt="Select the appropriate purchase term and end use category from the drop-down list." sqref="I176:I187">
      <formula1>REC19</formula1>
    </dataValidation>
  </dataValidations>
  <printOptions horizontalCentered="1"/>
  <pageMargins left="0.75" right="0.75" top="0.5" bottom="0.5" header="0.5" footer="0.35"/>
  <pageSetup fitToHeight="6" horizontalDpi="600" verticalDpi="600" orientation="landscape" scale="59" r:id="rId3"/>
  <headerFooter alignWithMargins="0">
    <oddFooter>&amp;L&amp;"Times New Roman,Regular"&amp;8&amp;F: &amp;A&amp;R&amp;"Times New Roman,Regular"&amp;8Page &amp;P of &amp;N</oddFooter>
  </headerFooter>
  <rowBreaks count="7" manualBreakCount="7">
    <brk id="42" max="10" man="1"/>
    <brk id="76" max="10" man="1"/>
    <brk id="137" max="10" man="1"/>
    <brk id="172" max="10" man="1"/>
    <brk id="198" max="10" man="1"/>
    <brk id="224" max="10" man="1"/>
    <brk id="250" max="10"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207"/>
  <sheetViews>
    <sheetView zoomScaleSheetLayoutView="115" zoomScalePageLayoutView="0" workbookViewId="0" topLeftCell="A1">
      <pane ySplit="16" topLeftCell="BM17" activePane="bottomLeft" state="frozen"/>
      <selection pane="topLeft" activeCell="E29" sqref="E29"/>
      <selection pane="bottomLeft" activeCell="C31" sqref="C31"/>
    </sheetView>
  </sheetViews>
  <sheetFormatPr defaultColWidth="9.140625" defaultRowHeight="13.5" customHeight="1"/>
  <cols>
    <col min="1" max="1" width="15.421875" style="52" customWidth="1"/>
    <col min="2" max="2" width="13.28125" style="52" customWidth="1"/>
    <col min="3" max="3" width="31.00390625" style="52" bestFit="1" customWidth="1"/>
    <col min="4" max="4" width="35.7109375" style="52" customWidth="1"/>
    <col min="5" max="5" width="14.7109375" style="52" customWidth="1"/>
    <col min="6" max="7" width="15.7109375" style="52" customWidth="1"/>
    <col min="8" max="8" width="15.7109375" style="88" customWidth="1"/>
    <col min="9" max="11" width="15.7109375" style="90" customWidth="1"/>
    <col min="12" max="12" width="15.7109375" style="52" customWidth="1"/>
    <col min="13" max="13" width="18.28125" style="52" customWidth="1"/>
    <col min="14" max="14" width="15.7109375" style="52" customWidth="1"/>
    <col min="15" max="15" width="18.7109375" style="52" customWidth="1"/>
    <col min="16" max="16" width="15.7109375" style="52" customWidth="1"/>
    <col min="17" max="17" width="25.7109375" style="52" customWidth="1"/>
    <col min="18" max="16384" width="9.140625" style="52" customWidth="1"/>
  </cols>
  <sheetData>
    <row r="1" spans="7:16" s="373" customFormat="1" ht="13.5" customHeight="1" hidden="1">
      <c r="G1" s="374">
        <f>SUMIF($A$16:$A$500,"Identified",G$16:G$500)+SUMIF($A$16:$A$500,"Proposed",G$16:G$500)+SUMIF($A$16:$A$500,"In Development",G$16:G$500)+SUMIF($A$16:$A$500,"Awarded/Approved",G$16:G$500)</f>
        <v>0</v>
      </c>
      <c r="H1" s="374">
        <f>SUMIF($A$16:$A$500,"Identified",H$16:H$500)+SUMIF($A$16:$A$500,"Proposed",H$16:H$500)+SUMIF($A$16:$A$500,"In Development",H$16:H$500)+SUMIF($A$16:$A$500,"Awarded/Approved",H$16:H$500)</f>
        <v>0</v>
      </c>
      <c r="I1" s="374">
        <f>SUMIF($A$16:$A$500,"Identified",I$16:I$500)+SUMIF($A$16:$A$500,"Proposed",I$16:I$500)+SUMIF($A$16:$A$500,"In Development",I$16:I$500)+SUMIF($A$16:$A$500,"Awarded/Approved",I$16:I$500)</f>
        <v>0</v>
      </c>
      <c r="J1" s="374">
        <f>SUMIF($A$16:$A$500,"Identified",J$16:J$500)+SUMIF($A$16:$A$500,"Proposed",J$16:J$500)+SUMIF($A$16:$A$500,"In Development",J$16:J$500)+SUMIF($A$16:$A$500,"Awarded/Approved",J$16:J$500)</f>
        <v>0</v>
      </c>
      <c r="K1" s="374">
        <f>SUMIF($A$16:$A$500,"Identified",K$16:K$500)+SUMIF($A$16:$A$500,"Proposed",K$16:K$500)+SUMIF($A$16:$A$500,"In Development",K$16:K$500)+SUMIF($A$16:$A$500,"Awarded/Approved",K$16:K$500)</f>
        <v>0</v>
      </c>
      <c r="L1" s="375"/>
      <c r="M1" s="374">
        <f>SUMIF($A$16:$A$500,"Identified",M$16:M$500)+SUMIF($A$16:$A$500,"Proposed",M$16:M$500)+SUMIF($A$16:$A$500,"In Development",M$16:M$500)+SUMIF($A$16:$A$500,"Awarded/Approved",M$16:M$500)</f>
        <v>0</v>
      </c>
      <c r="N1" s="374">
        <f>SUMIF($A$16:$A$500,"Identified",N$16:N$500)+SUMIF($A$16:$A$500,"Proposed",N$16:N$500)+SUMIF($A$16:$A$500,"In Development",N$16:N$500)+SUMIF($A$16:$A$500,"Awarded/Approved",N$16:N$500)</f>
        <v>0</v>
      </c>
      <c r="O1" s="374">
        <f>SUMIF($A$16:$A$500,"Identified",O$16:O$500)+SUMIF($A$16:$A$500,"Proposed",O$16:O$500)+SUMIF($A$16:$A$500,"In Development",O$16:O$500)+SUMIF($A$16:$A$500,"Awarded/Approved",O$16:O$500)</f>
        <v>0</v>
      </c>
      <c r="P1" s="374">
        <f>SUMIF($A$16:$A$500,"Identified",P$16:P$500)+SUMIF($A$16:$A$500,"Proposed",P$16:P$500)+SUMIF($A$16:$A$500,"In Development",P$16:P$500)+SUMIF($A$16:$A$500,"Awarded/Approved",P$16:P$500)</f>
        <v>0</v>
      </c>
    </row>
    <row r="2" spans="1:17" s="185" customFormat="1" ht="18" customHeight="1">
      <c r="A2" s="599" t="str">
        <f>Lists!N7</f>
        <v>Office of Legacy Management</v>
      </c>
      <c r="B2" s="599"/>
      <c r="C2" s="599"/>
      <c r="D2" s="600"/>
      <c r="E2" s="600"/>
      <c r="F2" s="600"/>
      <c r="G2" s="600"/>
      <c r="H2" s="600"/>
      <c r="I2" s="600"/>
      <c r="J2" s="600"/>
      <c r="K2" s="600"/>
      <c r="L2" s="600"/>
      <c r="M2" s="600"/>
      <c r="N2" s="600"/>
      <c r="O2" s="600"/>
      <c r="P2" s="600"/>
      <c r="Q2" s="600"/>
    </row>
    <row r="3" spans="1:17" s="185" customFormat="1" ht="18" customHeight="1">
      <c r="A3" s="599" t="s">
        <v>405</v>
      </c>
      <c r="B3" s="599"/>
      <c r="C3" s="599"/>
      <c r="D3" s="600"/>
      <c r="E3" s="600"/>
      <c r="F3" s="600"/>
      <c r="G3" s="600"/>
      <c r="H3" s="600"/>
      <c r="I3" s="600"/>
      <c r="J3" s="600"/>
      <c r="K3" s="600"/>
      <c r="L3" s="600"/>
      <c r="M3" s="600"/>
      <c r="N3" s="600"/>
      <c r="O3" s="600"/>
      <c r="P3" s="600"/>
      <c r="Q3" s="600"/>
    </row>
    <row r="4" spans="1:17" s="185" customFormat="1" ht="15.75" customHeight="1">
      <c r="A4" s="52"/>
      <c r="B4" s="52"/>
      <c r="C4" s="52"/>
      <c r="F4" s="131"/>
      <c r="G4" s="186"/>
      <c r="H4" s="186"/>
      <c r="I4" s="186"/>
      <c r="J4" s="186"/>
      <c r="K4" s="186"/>
      <c r="L4" s="186"/>
      <c r="M4" s="186"/>
      <c r="N4" s="186"/>
      <c r="O4" s="186"/>
      <c r="P4" s="186"/>
      <c r="Q4" s="186"/>
    </row>
    <row r="5" spans="1:12" s="5" customFormat="1" ht="18" customHeight="1">
      <c r="A5" s="19" t="s">
        <v>519</v>
      </c>
      <c r="B5" s="19"/>
      <c r="C5" s="19"/>
      <c r="D5" s="53"/>
      <c r="E5" s="53"/>
      <c r="F5" s="53"/>
      <c r="G5" s="53"/>
      <c r="H5" s="53"/>
      <c r="I5" s="53"/>
      <c r="J5" s="53"/>
      <c r="K5" s="53"/>
      <c r="L5" s="54"/>
    </row>
    <row r="6" spans="1:17" s="185" customFormat="1" ht="15.75" customHeight="1">
      <c r="A6" s="52"/>
      <c r="B6" s="52"/>
      <c r="C6" s="52"/>
      <c r="F6" s="131"/>
      <c r="G6" s="186"/>
      <c r="H6" s="186"/>
      <c r="I6" s="186"/>
      <c r="J6" s="186"/>
      <c r="K6" s="186"/>
      <c r="L6" s="186"/>
      <c r="M6" s="186"/>
      <c r="N6" s="186"/>
      <c r="O6" s="186"/>
      <c r="P6" s="186"/>
      <c r="Q6" s="186"/>
    </row>
    <row r="7" spans="1:17" s="185" customFormat="1" ht="15.75" customHeight="1">
      <c r="A7" s="131" t="s">
        <v>360</v>
      </c>
      <c r="B7" s="131"/>
      <c r="C7" s="131"/>
      <c r="G7" s="186"/>
      <c r="H7" s="186"/>
      <c r="I7" s="186"/>
      <c r="J7" s="186"/>
      <c r="K7" s="186"/>
      <c r="L7" s="186"/>
      <c r="M7" s="186"/>
      <c r="N7" s="186"/>
      <c r="O7" s="186"/>
      <c r="P7" s="186"/>
      <c r="Q7" s="186"/>
    </row>
    <row r="8" spans="1:17" s="101" customFormat="1" ht="15.75" customHeight="1">
      <c r="A8" s="474" t="s">
        <v>166</v>
      </c>
      <c r="B8" s="475"/>
      <c r="C8" s="474" t="s">
        <v>102</v>
      </c>
      <c r="D8" s="604"/>
      <c r="E8" s="475"/>
      <c r="F8" s="601" t="s">
        <v>103</v>
      </c>
      <c r="G8" s="602"/>
      <c r="H8" s="602"/>
      <c r="I8" s="602"/>
      <c r="J8" s="602"/>
      <c r="K8" s="602"/>
      <c r="L8" s="603"/>
      <c r="O8" s="187"/>
      <c r="P8" s="187"/>
      <c r="Q8" s="187"/>
    </row>
    <row r="9" spans="1:16" s="101" customFormat="1" ht="15.75" customHeight="1">
      <c r="A9" s="593" t="str">
        <f>Lists!N7</f>
        <v>Office of Legacy Management</v>
      </c>
      <c r="B9" s="594"/>
      <c r="C9" s="165"/>
      <c r="D9" s="327" t="s">
        <v>105</v>
      </c>
      <c r="E9" s="124" t="s">
        <v>106</v>
      </c>
      <c r="F9" s="125" t="s">
        <v>107</v>
      </c>
      <c r="G9" s="188" t="str">
        <f>IF(NOT(Lists!N13=""),Lists!N13,"")</f>
        <v>DOE-LM-15011</v>
      </c>
      <c r="H9" s="133"/>
      <c r="I9" s="189" t="str">
        <f>IF(NOT(Lists!O13=""),Lists!O13,"")</f>
        <v>DOE-LM-15012</v>
      </c>
      <c r="J9" s="126"/>
      <c r="K9" s="189" t="str">
        <f>IF(NOT(Lists!P13=""),Lists!P13,"")</f>
        <v>DOE-LM-15013</v>
      </c>
      <c r="L9" s="127"/>
      <c r="O9" s="93"/>
      <c r="P9" s="93"/>
    </row>
    <row r="10" spans="1:16" s="101" customFormat="1" ht="15.75" customHeight="1">
      <c r="A10" s="595"/>
      <c r="B10" s="596"/>
      <c r="C10" s="125" t="s">
        <v>109</v>
      </c>
      <c r="D10" s="429">
        <f>'2. 2009 Data Report'!C22</f>
        <v>115.374</v>
      </c>
      <c r="E10" s="430">
        <v>24.614</v>
      </c>
      <c r="F10" s="125" t="s">
        <v>110</v>
      </c>
      <c r="G10" s="433" t="str">
        <f>IF(NOT(Lists!N14=""),Lists!N14,"")</f>
        <v>Ribeiro, Tracy (Fed)</v>
      </c>
      <c r="H10" s="133"/>
      <c r="I10" s="189" t="str">
        <f>IF(NOT(Lists!O14=""),Lists!O14,"")</f>
        <v>Sizemore, Mary (Contractor)</v>
      </c>
      <c r="J10" s="126"/>
      <c r="K10" s="189" t="str">
        <f>IF(NOT(Lists!P14=""),Lists!P14,"")</f>
        <v>Jacobson, Carl (Contractor)</v>
      </c>
      <c r="L10" s="127"/>
      <c r="O10" s="93"/>
      <c r="P10" s="93"/>
    </row>
    <row r="11" spans="1:16" s="101" customFormat="1" ht="15.75" customHeight="1">
      <c r="A11" s="597"/>
      <c r="B11" s="598"/>
      <c r="C11" s="128" t="s">
        <v>111</v>
      </c>
      <c r="D11" s="431">
        <f>'2. 2009 Data Report'!G21</f>
        <v>27.938000000000002</v>
      </c>
      <c r="E11" s="432">
        <f>IF(Lists!K10="","",Lists!K10)</f>
      </c>
      <c r="F11" s="128" t="s">
        <v>112</v>
      </c>
      <c r="G11" s="434" t="str">
        <f>IF(NOT(Lists!N15=""),Lists!N15,"")</f>
        <v>tracy.ribeiro@lm.doe.gov</v>
      </c>
      <c r="H11" s="134"/>
      <c r="I11" s="190" t="str">
        <f>IF(NOT(Lists!O15=""),Lists!O15,"")</f>
        <v>mary.sizemore@lm.doe.gov</v>
      </c>
      <c r="J11" s="129"/>
      <c r="K11" s="190" t="str">
        <f>IF(NOT(Lists!P15=""),Lists!P15,"")</f>
        <v>carl.jacobson@lm.doe.gov</v>
      </c>
      <c r="L11" s="130"/>
      <c r="O11" s="93"/>
      <c r="P11" s="93"/>
    </row>
    <row r="12" spans="7:17" ht="15.75" customHeight="1">
      <c r="G12" s="90"/>
      <c r="H12" s="90"/>
      <c r="J12" s="131"/>
      <c r="K12" s="131"/>
      <c r="L12" s="191"/>
      <c r="M12" s="191"/>
      <c r="N12" s="191"/>
      <c r="Q12" s="192"/>
    </row>
    <row r="13" spans="1:17" ht="15.75" customHeight="1">
      <c r="A13" s="131" t="s">
        <v>518</v>
      </c>
      <c r="B13" s="131"/>
      <c r="C13" s="131"/>
      <c r="G13" s="90"/>
      <c r="H13" s="90"/>
      <c r="J13" s="131"/>
      <c r="K13" s="131"/>
      <c r="L13" s="191"/>
      <c r="M13" s="191"/>
      <c r="N13" s="191"/>
      <c r="Q13" s="90"/>
    </row>
    <row r="14" spans="1:17" s="185" customFormat="1" ht="15.75" customHeight="1">
      <c r="A14" s="214" t="s">
        <v>524</v>
      </c>
      <c r="B14" s="376"/>
      <c r="C14" s="376"/>
      <c r="D14" s="376"/>
      <c r="E14" s="376"/>
      <c r="F14" s="376"/>
      <c r="G14" s="376"/>
      <c r="H14" s="376"/>
      <c r="I14" s="376"/>
      <c r="J14" s="376"/>
      <c r="K14" s="376"/>
      <c r="L14" s="376"/>
      <c r="M14" s="376"/>
      <c r="N14" s="376"/>
      <c r="O14" s="377"/>
      <c r="P14" s="377"/>
      <c r="Q14" s="377"/>
    </row>
    <row r="15" spans="1:17" s="131" customFormat="1" ht="60" customHeight="1">
      <c r="A15" s="55" t="s">
        <v>463</v>
      </c>
      <c r="B15" s="55" t="s">
        <v>464</v>
      </c>
      <c r="C15" s="55" t="s">
        <v>459</v>
      </c>
      <c r="D15" s="55" t="s">
        <v>406</v>
      </c>
      <c r="E15" s="132" t="s">
        <v>615</v>
      </c>
      <c r="F15" s="55" t="s">
        <v>424</v>
      </c>
      <c r="G15" s="55" t="s">
        <v>317</v>
      </c>
      <c r="H15" s="55" t="s">
        <v>520</v>
      </c>
      <c r="I15" s="55" t="s">
        <v>300</v>
      </c>
      <c r="J15" s="55" t="s">
        <v>521</v>
      </c>
      <c r="K15" s="55" t="s">
        <v>301</v>
      </c>
      <c r="L15" s="55" t="s">
        <v>394</v>
      </c>
      <c r="M15" s="116" t="s">
        <v>458</v>
      </c>
      <c r="N15" s="116" t="s">
        <v>302</v>
      </c>
      <c r="O15" s="116" t="s">
        <v>522</v>
      </c>
      <c r="P15" s="116" t="s">
        <v>523</v>
      </c>
      <c r="Q15" s="55" t="s">
        <v>465</v>
      </c>
    </row>
    <row r="16" spans="1:17" s="51" customFormat="1" ht="24.75" customHeight="1">
      <c r="A16" s="208"/>
      <c r="B16" s="208"/>
      <c r="C16" s="208"/>
      <c r="D16" s="470" t="s">
        <v>643</v>
      </c>
      <c r="E16" s="208" t="s">
        <v>298</v>
      </c>
      <c r="F16" s="209">
        <v>2008</v>
      </c>
      <c r="G16" s="210">
        <v>5000</v>
      </c>
      <c r="H16" s="211">
        <v>1405</v>
      </c>
      <c r="I16" s="212"/>
      <c r="J16" s="211"/>
      <c r="K16" s="212"/>
      <c r="L16" s="435">
        <f aca="true" t="shared" si="0" ref="L16:L52">SUM(K16,I16)</f>
        <v>0</v>
      </c>
      <c r="M16" s="211"/>
      <c r="N16" s="211"/>
      <c r="O16" s="211"/>
      <c r="P16" s="211"/>
      <c r="Q16" s="213"/>
    </row>
    <row r="17" spans="1:17" s="51" customFormat="1" ht="26.25" customHeight="1">
      <c r="A17" s="208"/>
      <c r="B17" s="208"/>
      <c r="C17" s="208"/>
      <c r="D17" s="470" t="s">
        <v>644</v>
      </c>
      <c r="E17" s="208" t="s">
        <v>298</v>
      </c>
      <c r="F17" s="209">
        <v>2008</v>
      </c>
      <c r="G17" s="210"/>
      <c r="H17" s="211">
        <v>1417</v>
      </c>
      <c r="I17" s="212"/>
      <c r="J17" s="211"/>
      <c r="K17" s="212"/>
      <c r="L17" s="435">
        <f t="shared" si="0"/>
        <v>0</v>
      </c>
      <c r="M17" s="211"/>
      <c r="N17" s="211"/>
      <c r="O17" s="211"/>
      <c r="P17" s="211"/>
      <c r="Q17" s="213"/>
    </row>
    <row r="18" spans="1:17" s="51" customFormat="1" ht="15.75" customHeight="1">
      <c r="A18" s="208"/>
      <c r="B18" s="208"/>
      <c r="C18" s="208"/>
      <c r="D18" s="208" t="s">
        <v>645</v>
      </c>
      <c r="E18" s="208" t="s">
        <v>298</v>
      </c>
      <c r="F18" s="209">
        <v>2008</v>
      </c>
      <c r="G18" s="210"/>
      <c r="H18" s="211">
        <v>112</v>
      </c>
      <c r="I18" s="212"/>
      <c r="J18" s="211"/>
      <c r="K18" s="212"/>
      <c r="L18" s="435">
        <f t="shared" si="0"/>
        <v>0</v>
      </c>
      <c r="M18" s="211"/>
      <c r="N18" s="211"/>
      <c r="O18" s="211"/>
      <c r="P18" s="211"/>
      <c r="Q18" s="213"/>
    </row>
    <row r="19" spans="1:17" s="51" customFormat="1" ht="23.25" customHeight="1">
      <c r="A19" s="208"/>
      <c r="B19" s="208"/>
      <c r="C19" s="208"/>
      <c r="D19" s="470" t="s">
        <v>646</v>
      </c>
      <c r="E19" s="208" t="s">
        <v>298</v>
      </c>
      <c r="F19" s="209">
        <v>2008</v>
      </c>
      <c r="G19" s="210"/>
      <c r="H19" s="211">
        <v>121</v>
      </c>
      <c r="I19" s="212"/>
      <c r="J19" s="211"/>
      <c r="K19" s="212"/>
      <c r="L19" s="435">
        <f t="shared" si="0"/>
        <v>0</v>
      </c>
      <c r="M19" s="211"/>
      <c r="N19" s="211"/>
      <c r="O19" s="211"/>
      <c r="P19" s="211"/>
      <c r="Q19" s="213"/>
    </row>
    <row r="20" spans="1:17" s="51" customFormat="1" ht="15.75" customHeight="1">
      <c r="A20" s="208"/>
      <c r="B20" s="208"/>
      <c r="C20" s="208"/>
      <c r="D20" s="208" t="s">
        <v>604</v>
      </c>
      <c r="E20" s="208" t="s">
        <v>298</v>
      </c>
      <c r="F20" s="209">
        <v>2009</v>
      </c>
      <c r="G20" s="210">
        <v>510000</v>
      </c>
      <c r="H20" s="211">
        <v>730</v>
      </c>
      <c r="I20" s="212"/>
      <c r="J20" s="211"/>
      <c r="K20" s="212"/>
      <c r="L20" s="435">
        <f t="shared" si="0"/>
        <v>0</v>
      </c>
      <c r="M20" s="211"/>
      <c r="N20" s="211"/>
      <c r="O20" s="211">
        <v>730</v>
      </c>
      <c r="P20" s="211"/>
      <c r="Q20" s="213"/>
    </row>
    <row r="21" spans="1:17" s="51" customFormat="1" ht="24.75" customHeight="1">
      <c r="A21" s="208"/>
      <c r="B21" s="208"/>
      <c r="C21" s="208"/>
      <c r="D21" s="470" t="s">
        <v>634</v>
      </c>
      <c r="E21" s="208" t="s">
        <v>298</v>
      </c>
      <c r="F21" s="209">
        <v>2008</v>
      </c>
      <c r="G21" s="210">
        <v>5000</v>
      </c>
      <c r="H21" s="211">
        <v>307</v>
      </c>
      <c r="I21" s="212"/>
      <c r="J21" s="211"/>
      <c r="K21" s="212"/>
      <c r="L21" s="435">
        <f t="shared" si="0"/>
        <v>0</v>
      </c>
      <c r="M21" s="211"/>
      <c r="N21" s="211"/>
      <c r="O21" s="211"/>
      <c r="P21" s="211"/>
      <c r="Q21" s="213"/>
    </row>
    <row r="22" spans="1:17" s="51" customFormat="1" ht="15.75" customHeight="1">
      <c r="A22" s="208"/>
      <c r="B22" s="208"/>
      <c r="C22" s="208"/>
      <c r="D22" s="208" t="s">
        <v>605</v>
      </c>
      <c r="E22" s="208" t="s">
        <v>298</v>
      </c>
      <c r="F22" s="209">
        <v>2008</v>
      </c>
      <c r="G22" s="210">
        <v>369000</v>
      </c>
      <c r="H22" s="211"/>
      <c r="I22" s="212"/>
      <c r="J22" s="211"/>
      <c r="K22" s="212"/>
      <c r="L22" s="435">
        <f t="shared" si="0"/>
        <v>0</v>
      </c>
      <c r="M22" s="211"/>
      <c r="N22" s="211"/>
      <c r="O22" s="211">
        <v>83.635</v>
      </c>
      <c r="P22" s="211"/>
      <c r="Q22" s="213"/>
    </row>
    <row r="23" spans="1:17" s="51" customFormat="1" ht="15.75" customHeight="1">
      <c r="A23" s="208"/>
      <c r="B23" s="208"/>
      <c r="C23" s="208"/>
      <c r="D23" s="208" t="s">
        <v>606</v>
      </c>
      <c r="E23" s="208" t="s">
        <v>298</v>
      </c>
      <c r="F23" s="209">
        <v>2008</v>
      </c>
      <c r="G23" s="210">
        <v>25000</v>
      </c>
      <c r="H23" s="211"/>
      <c r="I23" s="212"/>
      <c r="J23" s="211"/>
      <c r="K23" s="212"/>
      <c r="L23" s="435">
        <f t="shared" si="0"/>
        <v>0</v>
      </c>
      <c r="M23" s="211">
        <v>700</v>
      </c>
      <c r="N23" s="211"/>
      <c r="O23" s="211"/>
      <c r="P23" s="211"/>
      <c r="Q23" s="213"/>
    </row>
    <row r="24" spans="1:17" s="51" customFormat="1" ht="15.75" customHeight="1">
      <c r="A24" s="208"/>
      <c r="B24" s="208"/>
      <c r="C24" s="208"/>
      <c r="D24" s="208" t="s">
        <v>607</v>
      </c>
      <c r="E24" s="208" t="s">
        <v>298</v>
      </c>
      <c r="F24" s="209">
        <v>2007</v>
      </c>
      <c r="G24" s="210">
        <v>25630</v>
      </c>
      <c r="H24" s="211"/>
      <c r="I24" s="212"/>
      <c r="J24" s="211"/>
      <c r="K24" s="212"/>
      <c r="L24" s="435">
        <f t="shared" si="0"/>
        <v>0</v>
      </c>
      <c r="M24" s="211"/>
      <c r="N24" s="211"/>
      <c r="O24" s="211"/>
      <c r="P24" s="211"/>
      <c r="Q24" s="213"/>
    </row>
    <row r="25" spans="1:17" s="51" customFormat="1" ht="15.75" customHeight="1">
      <c r="A25" s="208"/>
      <c r="B25" s="208"/>
      <c r="C25" s="208"/>
      <c r="D25" s="208" t="s">
        <v>608</v>
      </c>
      <c r="E25" s="208" t="s">
        <v>298</v>
      </c>
      <c r="F25" s="209">
        <v>2008</v>
      </c>
      <c r="G25" s="210">
        <v>1500000</v>
      </c>
      <c r="H25" s="211"/>
      <c r="I25" s="212"/>
      <c r="J25" s="211"/>
      <c r="K25" s="212"/>
      <c r="L25" s="435">
        <f t="shared" si="0"/>
        <v>0</v>
      </c>
      <c r="M25" s="211">
        <v>717000</v>
      </c>
      <c r="N25" s="211"/>
      <c r="O25" s="211"/>
      <c r="P25" s="211"/>
      <c r="Q25" s="213"/>
    </row>
    <row r="26" spans="1:17" s="51" customFormat="1" ht="15.75" customHeight="1">
      <c r="A26" s="208"/>
      <c r="B26" s="208"/>
      <c r="C26" s="208"/>
      <c r="D26" s="208" t="s">
        <v>609</v>
      </c>
      <c r="E26" s="208" t="s">
        <v>298</v>
      </c>
      <c r="F26" s="209">
        <v>2008</v>
      </c>
      <c r="G26" s="210">
        <v>250000</v>
      </c>
      <c r="H26" s="211"/>
      <c r="I26" s="212"/>
      <c r="J26" s="211"/>
      <c r="K26" s="212"/>
      <c r="L26" s="435">
        <f t="shared" si="0"/>
        <v>0</v>
      </c>
      <c r="M26" s="211"/>
      <c r="N26" s="211"/>
      <c r="O26" s="211">
        <v>604</v>
      </c>
      <c r="P26" s="211"/>
      <c r="Q26" s="213"/>
    </row>
    <row r="27" spans="1:17" s="51" customFormat="1" ht="15.75" customHeight="1">
      <c r="A27" s="208"/>
      <c r="B27" s="208"/>
      <c r="C27" s="208"/>
      <c r="D27" s="208" t="s">
        <v>610</v>
      </c>
      <c r="E27" s="208" t="s">
        <v>298</v>
      </c>
      <c r="F27" s="209">
        <v>2009</v>
      </c>
      <c r="G27" s="210">
        <v>40000</v>
      </c>
      <c r="H27" s="211"/>
      <c r="I27" s="212"/>
      <c r="J27" s="211"/>
      <c r="K27" s="212"/>
      <c r="L27" s="435">
        <f t="shared" si="0"/>
        <v>0</v>
      </c>
      <c r="M27" s="211"/>
      <c r="N27" s="211"/>
      <c r="O27" s="211"/>
      <c r="P27" s="211"/>
      <c r="Q27" s="213"/>
    </row>
    <row r="28" spans="1:17" s="51" customFormat="1" ht="15.75" customHeight="1">
      <c r="A28" s="208"/>
      <c r="B28" s="208"/>
      <c r="C28" s="208"/>
      <c r="D28" s="208" t="s">
        <v>611</v>
      </c>
      <c r="E28" s="208" t="s">
        <v>298</v>
      </c>
      <c r="F28" s="209">
        <v>2008</v>
      </c>
      <c r="G28" s="210">
        <v>15000</v>
      </c>
      <c r="H28" s="211"/>
      <c r="I28" s="212"/>
      <c r="J28" s="211"/>
      <c r="K28" s="212"/>
      <c r="L28" s="435">
        <f t="shared" si="0"/>
        <v>0</v>
      </c>
      <c r="M28" s="211"/>
      <c r="N28" s="211"/>
      <c r="O28" s="211"/>
      <c r="P28" s="211"/>
      <c r="Q28" s="213"/>
    </row>
    <row r="29" spans="1:17" s="51" customFormat="1" ht="15.75" customHeight="1">
      <c r="A29" s="208"/>
      <c r="B29" s="208"/>
      <c r="C29" s="208"/>
      <c r="D29" s="208" t="s">
        <v>612</v>
      </c>
      <c r="E29" s="208" t="s">
        <v>298</v>
      </c>
      <c r="F29" s="209">
        <v>2015</v>
      </c>
      <c r="G29" s="210"/>
      <c r="H29" s="211"/>
      <c r="I29" s="212"/>
      <c r="J29" s="211"/>
      <c r="K29" s="212"/>
      <c r="L29" s="435">
        <f t="shared" si="0"/>
        <v>0</v>
      </c>
      <c r="M29" s="211"/>
      <c r="N29" s="211"/>
      <c r="O29" s="211"/>
      <c r="P29" s="211"/>
      <c r="Q29" s="213"/>
    </row>
    <row r="30" spans="1:17" s="51" customFormat="1" ht="15.75" customHeight="1">
      <c r="A30" s="208" t="s">
        <v>546</v>
      </c>
      <c r="B30" s="208"/>
      <c r="C30" s="208"/>
      <c r="D30" s="208"/>
      <c r="E30" s="208" t="s">
        <v>546</v>
      </c>
      <c r="F30" s="209"/>
      <c r="G30" s="210"/>
      <c r="H30" s="211"/>
      <c r="I30" s="212"/>
      <c r="J30" s="211"/>
      <c r="K30" s="212"/>
      <c r="L30" s="435">
        <f t="shared" si="0"/>
        <v>0</v>
      </c>
      <c r="M30" s="211"/>
      <c r="N30" s="211"/>
      <c r="O30" s="211"/>
      <c r="P30" s="211"/>
      <c r="Q30" s="213"/>
    </row>
    <row r="31" spans="1:17" s="51" customFormat="1" ht="15.75" customHeight="1">
      <c r="A31" s="208" t="s">
        <v>546</v>
      </c>
      <c r="B31" s="208"/>
      <c r="C31" s="208"/>
      <c r="D31" s="208"/>
      <c r="E31" s="208" t="s">
        <v>546</v>
      </c>
      <c r="F31" s="209"/>
      <c r="G31" s="210"/>
      <c r="H31" s="211"/>
      <c r="I31" s="212"/>
      <c r="J31" s="211"/>
      <c r="K31" s="212"/>
      <c r="L31" s="435">
        <f t="shared" si="0"/>
        <v>0</v>
      </c>
      <c r="M31" s="211"/>
      <c r="N31" s="211"/>
      <c r="O31" s="211"/>
      <c r="P31" s="211"/>
      <c r="Q31" s="213"/>
    </row>
    <row r="32" spans="1:17" s="51" customFormat="1" ht="15.75" customHeight="1">
      <c r="A32" s="208" t="s">
        <v>546</v>
      </c>
      <c r="B32" s="208"/>
      <c r="C32" s="208"/>
      <c r="D32" s="208"/>
      <c r="E32" s="208" t="s">
        <v>546</v>
      </c>
      <c r="F32" s="209"/>
      <c r="G32" s="210"/>
      <c r="H32" s="211"/>
      <c r="I32" s="212"/>
      <c r="J32" s="211"/>
      <c r="K32" s="212"/>
      <c r="L32" s="435">
        <f t="shared" si="0"/>
        <v>0</v>
      </c>
      <c r="M32" s="211"/>
      <c r="N32" s="211"/>
      <c r="O32" s="211"/>
      <c r="P32" s="211"/>
      <c r="Q32" s="213"/>
    </row>
    <row r="33" spans="1:17" s="51" customFormat="1" ht="15.75" customHeight="1">
      <c r="A33" s="208" t="s">
        <v>546</v>
      </c>
      <c r="B33" s="208"/>
      <c r="C33" s="208"/>
      <c r="D33" s="208"/>
      <c r="E33" s="208" t="s">
        <v>546</v>
      </c>
      <c r="F33" s="209"/>
      <c r="G33" s="210"/>
      <c r="H33" s="211"/>
      <c r="I33" s="212"/>
      <c r="J33" s="211"/>
      <c r="K33" s="212"/>
      <c r="L33" s="435">
        <f t="shared" si="0"/>
        <v>0</v>
      </c>
      <c r="M33" s="211"/>
      <c r="N33" s="211"/>
      <c r="O33" s="211"/>
      <c r="P33" s="211"/>
      <c r="Q33" s="213"/>
    </row>
    <row r="34" spans="1:17" s="51" customFormat="1" ht="15.75" customHeight="1">
      <c r="A34" s="208" t="s">
        <v>546</v>
      </c>
      <c r="B34" s="208"/>
      <c r="C34" s="208"/>
      <c r="D34" s="208"/>
      <c r="E34" s="208" t="s">
        <v>546</v>
      </c>
      <c r="F34" s="209"/>
      <c r="G34" s="210"/>
      <c r="H34" s="211"/>
      <c r="I34" s="212"/>
      <c r="J34" s="211"/>
      <c r="K34" s="212"/>
      <c r="L34" s="435">
        <f t="shared" si="0"/>
        <v>0</v>
      </c>
      <c r="M34" s="211"/>
      <c r="N34" s="211"/>
      <c r="O34" s="211"/>
      <c r="P34" s="211"/>
      <c r="Q34" s="213"/>
    </row>
    <row r="35" spans="1:17" s="51" customFormat="1" ht="15.75" customHeight="1">
      <c r="A35" s="208" t="s">
        <v>546</v>
      </c>
      <c r="B35" s="208"/>
      <c r="C35" s="208"/>
      <c r="D35" s="208"/>
      <c r="E35" s="208" t="s">
        <v>546</v>
      </c>
      <c r="F35" s="209"/>
      <c r="G35" s="210"/>
      <c r="H35" s="211"/>
      <c r="I35" s="212"/>
      <c r="J35" s="211"/>
      <c r="K35" s="212"/>
      <c r="L35" s="435">
        <f t="shared" si="0"/>
        <v>0</v>
      </c>
      <c r="M35" s="211"/>
      <c r="N35" s="211"/>
      <c r="O35" s="211"/>
      <c r="P35" s="211"/>
      <c r="Q35" s="213"/>
    </row>
    <row r="36" spans="1:17" s="51" customFormat="1" ht="15.75" customHeight="1">
      <c r="A36" s="208" t="s">
        <v>546</v>
      </c>
      <c r="B36" s="208"/>
      <c r="C36" s="208"/>
      <c r="D36" s="208"/>
      <c r="E36" s="208" t="s">
        <v>546</v>
      </c>
      <c r="F36" s="209"/>
      <c r="G36" s="210"/>
      <c r="H36" s="211"/>
      <c r="I36" s="212"/>
      <c r="J36" s="211"/>
      <c r="K36" s="212"/>
      <c r="L36" s="435">
        <f t="shared" si="0"/>
        <v>0</v>
      </c>
      <c r="M36" s="211"/>
      <c r="N36" s="211"/>
      <c r="O36" s="211"/>
      <c r="P36" s="211"/>
      <c r="Q36" s="213"/>
    </row>
    <row r="37" spans="1:17" s="51" customFormat="1" ht="15.75" customHeight="1">
      <c r="A37" s="208" t="s">
        <v>546</v>
      </c>
      <c r="B37" s="208"/>
      <c r="C37" s="208"/>
      <c r="D37" s="208"/>
      <c r="E37" s="208" t="s">
        <v>546</v>
      </c>
      <c r="F37" s="209"/>
      <c r="G37" s="210"/>
      <c r="H37" s="211"/>
      <c r="I37" s="212"/>
      <c r="J37" s="211"/>
      <c r="K37" s="212"/>
      <c r="L37" s="435">
        <f t="shared" si="0"/>
        <v>0</v>
      </c>
      <c r="M37" s="211"/>
      <c r="N37" s="211"/>
      <c r="O37" s="211"/>
      <c r="P37" s="211"/>
      <c r="Q37" s="213"/>
    </row>
    <row r="38" spans="1:17" s="51" customFormat="1" ht="15.75" customHeight="1">
      <c r="A38" s="208" t="s">
        <v>546</v>
      </c>
      <c r="B38" s="208"/>
      <c r="C38" s="208"/>
      <c r="D38" s="208"/>
      <c r="E38" s="208" t="s">
        <v>546</v>
      </c>
      <c r="F38" s="209"/>
      <c r="G38" s="210"/>
      <c r="H38" s="211"/>
      <c r="I38" s="212"/>
      <c r="J38" s="211"/>
      <c r="K38" s="212"/>
      <c r="L38" s="435">
        <f t="shared" si="0"/>
        <v>0</v>
      </c>
      <c r="M38" s="211"/>
      <c r="N38" s="211"/>
      <c r="O38" s="211"/>
      <c r="P38" s="211"/>
      <c r="Q38" s="213"/>
    </row>
    <row r="39" spans="1:17" s="51" customFormat="1" ht="15.75" customHeight="1">
      <c r="A39" s="208" t="s">
        <v>546</v>
      </c>
      <c r="B39" s="208"/>
      <c r="C39" s="208"/>
      <c r="D39" s="208"/>
      <c r="E39" s="208" t="s">
        <v>546</v>
      </c>
      <c r="F39" s="209"/>
      <c r="G39" s="210"/>
      <c r="H39" s="211"/>
      <c r="I39" s="212"/>
      <c r="J39" s="211"/>
      <c r="K39" s="212"/>
      <c r="L39" s="435">
        <f t="shared" si="0"/>
        <v>0</v>
      </c>
      <c r="M39" s="211"/>
      <c r="N39" s="211"/>
      <c r="O39" s="211"/>
      <c r="P39" s="211"/>
      <c r="Q39" s="213"/>
    </row>
    <row r="40" spans="1:17" s="51" customFormat="1" ht="15.75" customHeight="1">
      <c r="A40" s="208" t="s">
        <v>546</v>
      </c>
      <c r="B40" s="208"/>
      <c r="C40" s="208"/>
      <c r="D40" s="208"/>
      <c r="E40" s="208" t="s">
        <v>546</v>
      </c>
      <c r="F40" s="209"/>
      <c r="G40" s="210"/>
      <c r="H40" s="211"/>
      <c r="I40" s="212"/>
      <c r="J40" s="211"/>
      <c r="K40" s="212"/>
      <c r="L40" s="435">
        <f t="shared" si="0"/>
        <v>0</v>
      </c>
      <c r="M40" s="211"/>
      <c r="N40" s="211"/>
      <c r="O40" s="211"/>
      <c r="P40" s="211"/>
      <c r="Q40" s="213"/>
    </row>
    <row r="41" spans="1:17" s="51" customFormat="1" ht="15.75" customHeight="1">
      <c r="A41" s="208" t="s">
        <v>546</v>
      </c>
      <c r="B41" s="208"/>
      <c r="C41" s="208"/>
      <c r="D41" s="208"/>
      <c r="E41" s="208" t="s">
        <v>546</v>
      </c>
      <c r="F41" s="209"/>
      <c r="G41" s="210"/>
      <c r="H41" s="211"/>
      <c r="I41" s="212"/>
      <c r="J41" s="211"/>
      <c r="K41" s="212"/>
      <c r="L41" s="435">
        <f t="shared" si="0"/>
        <v>0</v>
      </c>
      <c r="M41" s="211"/>
      <c r="N41" s="211"/>
      <c r="O41" s="211"/>
      <c r="P41" s="211"/>
      <c r="Q41" s="213"/>
    </row>
    <row r="42" spans="1:17" s="51" customFormat="1" ht="15.75" customHeight="1">
      <c r="A42" s="208" t="s">
        <v>546</v>
      </c>
      <c r="B42" s="208"/>
      <c r="C42" s="208"/>
      <c r="D42" s="208"/>
      <c r="E42" s="208" t="s">
        <v>546</v>
      </c>
      <c r="F42" s="209"/>
      <c r="G42" s="210"/>
      <c r="H42" s="211"/>
      <c r="I42" s="212"/>
      <c r="J42" s="211"/>
      <c r="K42" s="212"/>
      <c r="L42" s="435">
        <f t="shared" si="0"/>
        <v>0</v>
      </c>
      <c r="M42" s="211"/>
      <c r="N42" s="211"/>
      <c r="O42" s="211"/>
      <c r="P42" s="211"/>
      <c r="Q42" s="213"/>
    </row>
    <row r="43" spans="1:17" s="51" customFormat="1" ht="15.75" customHeight="1">
      <c r="A43" s="208" t="s">
        <v>546</v>
      </c>
      <c r="B43" s="208"/>
      <c r="C43" s="208"/>
      <c r="D43" s="208"/>
      <c r="E43" s="208" t="s">
        <v>546</v>
      </c>
      <c r="F43" s="209"/>
      <c r="G43" s="210"/>
      <c r="H43" s="211"/>
      <c r="I43" s="212"/>
      <c r="J43" s="211"/>
      <c r="K43" s="212"/>
      <c r="L43" s="435">
        <f t="shared" si="0"/>
        <v>0</v>
      </c>
      <c r="M43" s="211"/>
      <c r="N43" s="211"/>
      <c r="O43" s="211"/>
      <c r="P43" s="211"/>
      <c r="Q43" s="213"/>
    </row>
    <row r="44" spans="1:17" s="51" customFormat="1" ht="15.75" customHeight="1">
      <c r="A44" s="208" t="s">
        <v>546</v>
      </c>
      <c r="B44" s="208"/>
      <c r="C44" s="208"/>
      <c r="D44" s="208"/>
      <c r="E44" s="208" t="s">
        <v>546</v>
      </c>
      <c r="F44" s="209"/>
      <c r="G44" s="210"/>
      <c r="H44" s="211"/>
      <c r="I44" s="212"/>
      <c r="J44" s="211"/>
      <c r="K44" s="212"/>
      <c r="L44" s="435">
        <f t="shared" si="0"/>
        <v>0</v>
      </c>
      <c r="M44" s="211"/>
      <c r="N44" s="211"/>
      <c r="O44" s="211"/>
      <c r="P44" s="211"/>
      <c r="Q44" s="213"/>
    </row>
    <row r="45" spans="1:17" s="51" customFormat="1" ht="15.75" customHeight="1">
      <c r="A45" s="208" t="s">
        <v>546</v>
      </c>
      <c r="B45" s="208"/>
      <c r="C45" s="208"/>
      <c r="D45" s="208"/>
      <c r="E45" s="208" t="s">
        <v>546</v>
      </c>
      <c r="F45" s="209"/>
      <c r="G45" s="210"/>
      <c r="H45" s="211"/>
      <c r="I45" s="212"/>
      <c r="J45" s="211"/>
      <c r="K45" s="212"/>
      <c r="L45" s="435">
        <f t="shared" si="0"/>
        <v>0</v>
      </c>
      <c r="M45" s="211"/>
      <c r="N45" s="211"/>
      <c r="O45" s="211"/>
      <c r="P45" s="211"/>
      <c r="Q45" s="213"/>
    </row>
    <row r="46" spans="1:17" s="51" customFormat="1" ht="15.75" customHeight="1">
      <c r="A46" s="208" t="s">
        <v>546</v>
      </c>
      <c r="B46" s="208"/>
      <c r="C46" s="208"/>
      <c r="D46" s="208"/>
      <c r="E46" s="208" t="s">
        <v>546</v>
      </c>
      <c r="F46" s="209"/>
      <c r="G46" s="210"/>
      <c r="H46" s="211"/>
      <c r="I46" s="212"/>
      <c r="J46" s="211"/>
      <c r="K46" s="212"/>
      <c r="L46" s="435">
        <f t="shared" si="0"/>
        <v>0</v>
      </c>
      <c r="M46" s="211"/>
      <c r="N46" s="211"/>
      <c r="O46" s="211"/>
      <c r="P46" s="211"/>
      <c r="Q46" s="213"/>
    </row>
    <row r="47" spans="1:17" s="51" customFormat="1" ht="15.75" customHeight="1">
      <c r="A47" s="208" t="s">
        <v>546</v>
      </c>
      <c r="B47" s="208"/>
      <c r="C47" s="208"/>
      <c r="D47" s="208"/>
      <c r="E47" s="208" t="s">
        <v>546</v>
      </c>
      <c r="F47" s="209"/>
      <c r="G47" s="210"/>
      <c r="H47" s="211"/>
      <c r="I47" s="212"/>
      <c r="J47" s="211"/>
      <c r="K47" s="212"/>
      <c r="L47" s="435">
        <f t="shared" si="0"/>
        <v>0</v>
      </c>
      <c r="M47" s="211"/>
      <c r="N47" s="211"/>
      <c r="O47" s="211"/>
      <c r="P47" s="211"/>
      <c r="Q47" s="213"/>
    </row>
    <row r="48" spans="1:17" s="51" customFormat="1" ht="15.75" customHeight="1">
      <c r="A48" s="208" t="s">
        <v>546</v>
      </c>
      <c r="B48" s="208"/>
      <c r="C48" s="208"/>
      <c r="D48" s="208"/>
      <c r="E48" s="208" t="s">
        <v>546</v>
      </c>
      <c r="F48" s="209"/>
      <c r="G48" s="210"/>
      <c r="H48" s="211"/>
      <c r="I48" s="212"/>
      <c r="J48" s="211"/>
      <c r="K48" s="212"/>
      <c r="L48" s="435">
        <f t="shared" si="0"/>
        <v>0</v>
      </c>
      <c r="M48" s="211"/>
      <c r="N48" s="211"/>
      <c r="O48" s="211"/>
      <c r="P48" s="211"/>
      <c r="Q48" s="213"/>
    </row>
    <row r="49" spans="1:17" s="51" customFormat="1" ht="15.75" customHeight="1">
      <c r="A49" s="208" t="s">
        <v>546</v>
      </c>
      <c r="B49" s="208"/>
      <c r="C49" s="208"/>
      <c r="D49" s="208"/>
      <c r="E49" s="208" t="s">
        <v>546</v>
      </c>
      <c r="F49" s="209"/>
      <c r="G49" s="210"/>
      <c r="H49" s="211"/>
      <c r="I49" s="212"/>
      <c r="J49" s="211"/>
      <c r="K49" s="212"/>
      <c r="L49" s="435">
        <f t="shared" si="0"/>
        <v>0</v>
      </c>
      <c r="M49" s="211"/>
      <c r="N49" s="211"/>
      <c r="O49" s="211"/>
      <c r="P49" s="211"/>
      <c r="Q49" s="213"/>
    </row>
    <row r="50" spans="1:17" s="51" customFormat="1" ht="15.75" customHeight="1">
      <c r="A50" s="208" t="s">
        <v>546</v>
      </c>
      <c r="B50" s="208"/>
      <c r="C50" s="208"/>
      <c r="D50" s="208"/>
      <c r="E50" s="208" t="s">
        <v>546</v>
      </c>
      <c r="F50" s="209"/>
      <c r="G50" s="210"/>
      <c r="H50" s="211"/>
      <c r="I50" s="212"/>
      <c r="J50" s="211"/>
      <c r="K50" s="212"/>
      <c r="L50" s="435">
        <f t="shared" si="0"/>
        <v>0</v>
      </c>
      <c r="M50" s="211"/>
      <c r="N50" s="211"/>
      <c r="O50" s="211"/>
      <c r="P50" s="211"/>
      <c r="Q50" s="213"/>
    </row>
    <row r="51" spans="1:17" s="51" customFormat="1" ht="15.75" customHeight="1">
      <c r="A51" s="208" t="s">
        <v>546</v>
      </c>
      <c r="B51" s="208"/>
      <c r="C51" s="208"/>
      <c r="D51" s="208"/>
      <c r="E51" s="208" t="s">
        <v>546</v>
      </c>
      <c r="F51" s="209"/>
      <c r="G51" s="210"/>
      <c r="H51" s="211"/>
      <c r="I51" s="212"/>
      <c r="J51" s="211"/>
      <c r="K51" s="212"/>
      <c r="L51" s="435">
        <f t="shared" si="0"/>
        <v>0</v>
      </c>
      <c r="M51" s="211"/>
      <c r="N51" s="211"/>
      <c r="O51" s="211"/>
      <c r="P51" s="211"/>
      <c r="Q51" s="213"/>
    </row>
    <row r="52" spans="1:17" s="51" customFormat="1" ht="15.75" customHeight="1">
      <c r="A52" s="208" t="s">
        <v>546</v>
      </c>
      <c r="B52" s="208"/>
      <c r="C52" s="208"/>
      <c r="D52" s="208"/>
      <c r="E52" s="208" t="s">
        <v>546</v>
      </c>
      <c r="F52" s="209"/>
      <c r="G52" s="210"/>
      <c r="H52" s="211"/>
      <c r="I52" s="212"/>
      <c r="J52" s="211"/>
      <c r="K52" s="212"/>
      <c r="L52" s="435">
        <f t="shared" si="0"/>
        <v>0</v>
      </c>
      <c r="M52" s="211"/>
      <c r="N52" s="211"/>
      <c r="O52" s="211"/>
      <c r="P52" s="211"/>
      <c r="Q52" s="213"/>
    </row>
    <row r="53" spans="1:17" s="51" customFormat="1" ht="15.75" customHeight="1">
      <c r="A53" s="208" t="s">
        <v>546</v>
      </c>
      <c r="B53" s="208"/>
      <c r="C53" s="208"/>
      <c r="D53" s="208"/>
      <c r="E53" s="208" t="s">
        <v>546</v>
      </c>
      <c r="F53" s="209"/>
      <c r="G53" s="210"/>
      <c r="H53" s="211"/>
      <c r="I53" s="212"/>
      <c r="J53" s="211"/>
      <c r="K53" s="212"/>
      <c r="L53" s="435">
        <f aca="true" t="shared" si="1" ref="L53:L80">SUM(K53,I53)</f>
        <v>0</v>
      </c>
      <c r="M53" s="211"/>
      <c r="N53" s="211"/>
      <c r="O53" s="211"/>
      <c r="P53" s="211"/>
      <c r="Q53" s="213"/>
    </row>
    <row r="54" spans="1:17" s="51" customFormat="1" ht="15.75" customHeight="1">
      <c r="A54" s="208" t="s">
        <v>546</v>
      </c>
      <c r="B54" s="208"/>
      <c r="C54" s="208"/>
      <c r="D54" s="208"/>
      <c r="E54" s="208" t="s">
        <v>546</v>
      </c>
      <c r="F54" s="209"/>
      <c r="G54" s="210"/>
      <c r="H54" s="211"/>
      <c r="I54" s="212"/>
      <c r="J54" s="211"/>
      <c r="K54" s="212"/>
      <c r="L54" s="435">
        <f t="shared" si="1"/>
        <v>0</v>
      </c>
      <c r="M54" s="211"/>
      <c r="N54" s="211"/>
      <c r="O54" s="211"/>
      <c r="P54" s="211"/>
      <c r="Q54" s="213"/>
    </row>
    <row r="55" spans="1:17" s="51" customFormat="1" ht="15.75" customHeight="1">
      <c r="A55" s="208" t="s">
        <v>546</v>
      </c>
      <c r="B55" s="208"/>
      <c r="C55" s="208"/>
      <c r="D55" s="208"/>
      <c r="E55" s="208" t="s">
        <v>546</v>
      </c>
      <c r="F55" s="209"/>
      <c r="G55" s="210"/>
      <c r="H55" s="211"/>
      <c r="I55" s="212"/>
      <c r="J55" s="211"/>
      <c r="K55" s="212"/>
      <c r="L55" s="435">
        <f t="shared" si="1"/>
        <v>0</v>
      </c>
      <c r="M55" s="211"/>
      <c r="N55" s="211"/>
      <c r="O55" s="211"/>
      <c r="P55" s="211"/>
      <c r="Q55" s="213"/>
    </row>
    <row r="56" spans="1:17" s="51" customFormat="1" ht="15.75" customHeight="1">
      <c r="A56" s="208" t="s">
        <v>546</v>
      </c>
      <c r="B56" s="208"/>
      <c r="C56" s="208"/>
      <c r="D56" s="208"/>
      <c r="E56" s="208" t="s">
        <v>546</v>
      </c>
      <c r="F56" s="209"/>
      <c r="G56" s="210"/>
      <c r="H56" s="211"/>
      <c r="I56" s="212"/>
      <c r="J56" s="211"/>
      <c r="K56" s="212"/>
      <c r="L56" s="435">
        <f t="shared" si="1"/>
        <v>0</v>
      </c>
      <c r="M56" s="211"/>
      <c r="N56" s="211"/>
      <c r="O56" s="211"/>
      <c r="P56" s="211"/>
      <c r="Q56" s="213"/>
    </row>
    <row r="57" spans="1:17" s="51" customFormat="1" ht="15.75" customHeight="1">
      <c r="A57" s="208" t="s">
        <v>546</v>
      </c>
      <c r="B57" s="208"/>
      <c r="C57" s="208"/>
      <c r="D57" s="208"/>
      <c r="E57" s="208" t="s">
        <v>546</v>
      </c>
      <c r="F57" s="209"/>
      <c r="G57" s="210"/>
      <c r="H57" s="211"/>
      <c r="I57" s="212"/>
      <c r="J57" s="211"/>
      <c r="K57" s="212"/>
      <c r="L57" s="435">
        <f t="shared" si="1"/>
        <v>0</v>
      </c>
      <c r="M57" s="211"/>
      <c r="N57" s="211"/>
      <c r="O57" s="211"/>
      <c r="P57" s="211"/>
      <c r="Q57" s="213"/>
    </row>
    <row r="58" spans="1:17" s="51" customFormat="1" ht="15.75" customHeight="1">
      <c r="A58" s="208" t="s">
        <v>546</v>
      </c>
      <c r="B58" s="208"/>
      <c r="C58" s="208"/>
      <c r="D58" s="208"/>
      <c r="E58" s="208" t="s">
        <v>546</v>
      </c>
      <c r="F58" s="209"/>
      <c r="G58" s="210"/>
      <c r="H58" s="211"/>
      <c r="I58" s="212"/>
      <c r="J58" s="211"/>
      <c r="K58" s="212"/>
      <c r="L58" s="435">
        <f t="shared" si="1"/>
        <v>0</v>
      </c>
      <c r="M58" s="211"/>
      <c r="N58" s="211"/>
      <c r="O58" s="211"/>
      <c r="P58" s="211"/>
      <c r="Q58" s="213"/>
    </row>
    <row r="59" spans="1:17" s="51" customFormat="1" ht="15.75" customHeight="1">
      <c r="A59" s="208" t="s">
        <v>546</v>
      </c>
      <c r="B59" s="208"/>
      <c r="C59" s="208"/>
      <c r="D59" s="208"/>
      <c r="E59" s="208" t="s">
        <v>546</v>
      </c>
      <c r="F59" s="209"/>
      <c r="G59" s="210"/>
      <c r="H59" s="211"/>
      <c r="I59" s="212"/>
      <c r="J59" s="211"/>
      <c r="K59" s="212"/>
      <c r="L59" s="435">
        <f t="shared" si="1"/>
        <v>0</v>
      </c>
      <c r="M59" s="211"/>
      <c r="N59" s="211"/>
      <c r="O59" s="211"/>
      <c r="P59" s="211"/>
      <c r="Q59" s="213"/>
    </row>
    <row r="60" spans="1:17" s="51" customFormat="1" ht="15.75" customHeight="1">
      <c r="A60" s="208" t="s">
        <v>546</v>
      </c>
      <c r="B60" s="208"/>
      <c r="C60" s="208"/>
      <c r="D60" s="208"/>
      <c r="E60" s="208" t="s">
        <v>546</v>
      </c>
      <c r="F60" s="209"/>
      <c r="G60" s="210"/>
      <c r="H60" s="211"/>
      <c r="I60" s="212"/>
      <c r="J60" s="211"/>
      <c r="K60" s="212"/>
      <c r="L60" s="435">
        <f t="shared" si="1"/>
        <v>0</v>
      </c>
      <c r="M60" s="211"/>
      <c r="N60" s="211"/>
      <c r="O60" s="211"/>
      <c r="P60" s="211"/>
      <c r="Q60" s="213"/>
    </row>
    <row r="61" spans="1:17" s="51" customFormat="1" ht="15.75" customHeight="1">
      <c r="A61" s="208" t="s">
        <v>546</v>
      </c>
      <c r="B61" s="208"/>
      <c r="C61" s="208"/>
      <c r="D61" s="208"/>
      <c r="E61" s="208" t="s">
        <v>546</v>
      </c>
      <c r="F61" s="209"/>
      <c r="G61" s="210"/>
      <c r="H61" s="211"/>
      <c r="I61" s="212"/>
      <c r="J61" s="211"/>
      <c r="K61" s="212"/>
      <c r="L61" s="435">
        <f t="shared" si="1"/>
        <v>0</v>
      </c>
      <c r="M61" s="211"/>
      <c r="N61" s="211"/>
      <c r="O61" s="211"/>
      <c r="P61" s="211"/>
      <c r="Q61" s="213"/>
    </row>
    <row r="62" spans="1:17" s="51" customFormat="1" ht="15.75" customHeight="1">
      <c r="A62" s="208" t="s">
        <v>546</v>
      </c>
      <c r="B62" s="208"/>
      <c r="C62" s="208"/>
      <c r="D62" s="208"/>
      <c r="E62" s="208" t="s">
        <v>546</v>
      </c>
      <c r="F62" s="209"/>
      <c r="G62" s="210"/>
      <c r="H62" s="211"/>
      <c r="I62" s="212"/>
      <c r="J62" s="211"/>
      <c r="K62" s="212"/>
      <c r="L62" s="435">
        <f t="shared" si="1"/>
        <v>0</v>
      </c>
      <c r="M62" s="211"/>
      <c r="N62" s="211"/>
      <c r="O62" s="211"/>
      <c r="P62" s="211"/>
      <c r="Q62" s="213"/>
    </row>
    <row r="63" spans="1:17" s="51" customFormat="1" ht="15.75" customHeight="1">
      <c r="A63" s="208" t="s">
        <v>546</v>
      </c>
      <c r="B63" s="208"/>
      <c r="C63" s="208"/>
      <c r="D63" s="208"/>
      <c r="E63" s="208" t="s">
        <v>546</v>
      </c>
      <c r="F63" s="209"/>
      <c r="G63" s="210"/>
      <c r="H63" s="211"/>
      <c r="I63" s="212"/>
      <c r="J63" s="211"/>
      <c r="K63" s="212"/>
      <c r="L63" s="435">
        <f t="shared" si="1"/>
        <v>0</v>
      </c>
      <c r="M63" s="211"/>
      <c r="N63" s="211"/>
      <c r="O63" s="211"/>
      <c r="P63" s="211"/>
      <c r="Q63" s="213"/>
    </row>
    <row r="64" spans="1:17" s="51" customFormat="1" ht="15.75" customHeight="1">
      <c r="A64" s="208" t="s">
        <v>546</v>
      </c>
      <c r="B64" s="208"/>
      <c r="C64" s="208"/>
      <c r="D64" s="208"/>
      <c r="E64" s="208" t="s">
        <v>546</v>
      </c>
      <c r="F64" s="209"/>
      <c r="G64" s="210"/>
      <c r="H64" s="211"/>
      <c r="I64" s="212"/>
      <c r="J64" s="211"/>
      <c r="K64" s="212"/>
      <c r="L64" s="435">
        <f t="shared" si="1"/>
        <v>0</v>
      </c>
      <c r="M64" s="211"/>
      <c r="N64" s="211"/>
      <c r="O64" s="211"/>
      <c r="P64" s="211"/>
      <c r="Q64" s="213"/>
    </row>
    <row r="65" spans="1:17" s="51" customFormat="1" ht="15.75" customHeight="1">
      <c r="A65" s="208" t="s">
        <v>546</v>
      </c>
      <c r="B65" s="208"/>
      <c r="C65" s="208"/>
      <c r="D65" s="208"/>
      <c r="E65" s="208" t="s">
        <v>546</v>
      </c>
      <c r="F65" s="209"/>
      <c r="G65" s="210"/>
      <c r="H65" s="211"/>
      <c r="I65" s="212"/>
      <c r="J65" s="211"/>
      <c r="K65" s="212"/>
      <c r="L65" s="435">
        <f t="shared" si="1"/>
        <v>0</v>
      </c>
      <c r="M65" s="211"/>
      <c r="N65" s="211"/>
      <c r="O65" s="211"/>
      <c r="P65" s="211"/>
      <c r="Q65" s="213"/>
    </row>
    <row r="66" spans="1:17" s="51" customFormat="1" ht="15.75" customHeight="1">
      <c r="A66" s="208" t="s">
        <v>546</v>
      </c>
      <c r="B66" s="208"/>
      <c r="C66" s="208"/>
      <c r="D66" s="208"/>
      <c r="E66" s="208" t="s">
        <v>546</v>
      </c>
      <c r="F66" s="209"/>
      <c r="G66" s="210"/>
      <c r="H66" s="211"/>
      <c r="I66" s="212"/>
      <c r="J66" s="211"/>
      <c r="K66" s="212"/>
      <c r="L66" s="435">
        <f t="shared" si="1"/>
        <v>0</v>
      </c>
      <c r="M66" s="211"/>
      <c r="N66" s="211"/>
      <c r="O66" s="211"/>
      <c r="P66" s="211"/>
      <c r="Q66" s="213"/>
    </row>
    <row r="67" spans="1:17" s="51" customFormat="1" ht="15.75" customHeight="1">
      <c r="A67" s="208" t="s">
        <v>546</v>
      </c>
      <c r="B67" s="208"/>
      <c r="C67" s="208"/>
      <c r="D67" s="208"/>
      <c r="E67" s="208" t="s">
        <v>546</v>
      </c>
      <c r="F67" s="209"/>
      <c r="G67" s="210"/>
      <c r="H67" s="211"/>
      <c r="I67" s="212"/>
      <c r="J67" s="211"/>
      <c r="K67" s="212"/>
      <c r="L67" s="435">
        <f t="shared" si="1"/>
        <v>0</v>
      </c>
      <c r="M67" s="211"/>
      <c r="N67" s="211"/>
      <c r="O67" s="211"/>
      <c r="P67" s="211"/>
      <c r="Q67" s="213"/>
    </row>
    <row r="68" spans="1:17" s="51" customFormat="1" ht="15.75" customHeight="1">
      <c r="A68" s="208" t="s">
        <v>546</v>
      </c>
      <c r="B68" s="208"/>
      <c r="C68" s="208"/>
      <c r="D68" s="208"/>
      <c r="E68" s="208" t="s">
        <v>546</v>
      </c>
      <c r="F68" s="209"/>
      <c r="G68" s="210"/>
      <c r="H68" s="211"/>
      <c r="I68" s="212"/>
      <c r="J68" s="211"/>
      <c r="K68" s="212"/>
      <c r="L68" s="435">
        <f t="shared" si="1"/>
        <v>0</v>
      </c>
      <c r="M68" s="211"/>
      <c r="N68" s="211"/>
      <c r="O68" s="211"/>
      <c r="P68" s="211"/>
      <c r="Q68" s="213"/>
    </row>
    <row r="69" spans="1:17" s="51" customFormat="1" ht="15.75" customHeight="1">
      <c r="A69" s="208" t="s">
        <v>546</v>
      </c>
      <c r="B69" s="208"/>
      <c r="C69" s="208"/>
      <c r="D69" s="208"/>
      <c r="E69" s="208" t="s">
        <v>546</v>
      </c>
      <c r="F69" s="209"/>
      <c r="G69" s="210"/>
      <c r="H69" s="211"/>
      <c r="I69" s="212"/>
      <c r="J69" s="211"/>
      <c r="K69" s="212"/>
      <c r="L69" s="435">
        <f t="shared" si="1"/>
        <v>0</v>
      </c>
      <c r="M69" s="211"/>
      <c r="N69" s="211"/>
      <c r="O69" s="211"/>
      <c r="P69" s="211"/>
      <c r="Q69" s="213"/>
    </row>
    <row r="70" spans="1:17" s="51" customFormat="1" ht="15.75" customHeight="1">
      <c r="A70" s="208" t="s">
        <v>546</v>
      </c>
      <c r="B70" s="208"/>
      <c r="C70" s="208"/>
      <c r="D70" s="208"/>
      <c r="E70" s="208" t="s">
        <v>546</v>
      </c>
      <c r="F70" s="209"/>
      <c r="G70" s="210"/>
      <c r="H70" s="211"/>
      <c r="I70" s="212"/>
      <c r="J70" s="211"/>
      <c r="K70" s="212"/>
      <c r="L70" s="435">
        <f t="shared" si="1"/>
        <v>0</v>
      </c>
      <c r="M70" s="211"/>
      <c r="N70" s="211"/>
      <c r="O70" s="211"/>
      <c r="P70" s="211"/>
      <c r="Q70" s="213"/>
    </row>
    <row r="71" spans="1:17" s="51" customFormat="1" ht="15.75" customHeight="1">
      <c r="A71" s="208" t="s">
        <v>546</v>
      </c>
      <c r="B71" s="208"/>
      <c r="C71" s="208"/>
      <c r="D71" s="208"/>
      <c r="E71" s="208" t="s">
        <v>546</v>
      </c>
      <c r="F71" s="209"/>
      <c r="G71" s="210"/>
      <c r="H71" s="211"/>
      <c r="I71" s="212"/>
      <c r="J71" s="211"/>
      <c r="K71" s="212"/>
      <c r="L71" s="435">
        <f t="shared" si="1"/>
        <v>0</v>
      </c>
      <c r="M71" s="211"/>
      <c r="N71" s="211"/>
      <c r="O71" s="211"/>
      <c r="P71" s="211"/>
      <c r="Q71" s="213"/>
    </row>
    <row r="72" spans="1:17" s="51" customFormat="1" ht="15.75" customHeight="1">
      <c r="A72" s="208" t="s">
        <v>546</v>
      </c>
      <c r="B72" s="208"/>
      <c r="C72" s="208"/>
      <c r="D72" s="208"/>
      <c r="E72" s="208" t="s">
        <v>546</v>
      </c>
      <c r="F72" s="209"/>
      <c r="G72" s="210"/>
      <c r="H72" s="211"/>
      <c r="I72" s="212"/>
      <c r="J72" s="211"/>
      <c r="K72" s="212"/>
      <c r="L72" s="435">
        <f t="shared" si="1"/>
        <v>0</v>
      </c>
      <c r="M72" s="211"/>
      <c r="N72" s="211"/>
      <c r="O72" s="211"/>
      <c r="P72" s="211"/>
      <c r="Q72" s="213"/>
    </row>
    <row r="73" spans="1:17" s="51" customFormat="1" ht="15.75" customHeight="1">
      <c r="A73" s="208" t="s">
        <v>546</v>
      </c>
      <c r="B73" s="208"/>
      <c r="C73" s="208"/>
      <c r="D73" s="208"/>
      <c r="E73" s="208" t="s">
        <v>546</v>
      </c>
      <c r="F73" s="209"/>
      <c r="G73" s="210"/>
      <c r="H73" s="211"/>
      <c r="I73" s="212"/>
      <c r="J73" s="211"/>
      <c r="K73" s="212"/>
      <c r="L73" s="435">
        <f t="shared" si="1"/>
        <v>0</v>
      </c>
      <c r="M73" s="211"/>
      <c r="N73" s="211"/>
      <c r="O73" s="211"/>
      <c r="P73" s="211"/>
      <c r="Q73" s="213"/>
    </row>
    <row r="74" spans="1:17" s="51" customFormat="1" ht="15.75" customHeight="1">
      <c r="A74" s="208" t="s">
        <v>546</v>
      </c>
      <c r="B74" s="208"/>
      <c r="C74" s="208"/>
      <c r="D74" s="208"/>
      <c r="E74" s="208" t="s">
        <v>546</v>
      </c>
      <c r="F74" s="209"/>
      <c r="G74" s="210"/>
      <c r="H74" s="211"/>
      <c r="I74" s="212"/>
      <c r="J74" s="211"/>
      <c r="K74" s="212"/>
      <c r="L74" s="435">
        <f t="shared" si="1"/>
        <v>0</v>
      </c>
      <c r="M74" s="211"/>
      <c r="N74" s="211"/>
      <c r="O74" s="211"/>
      <c r="P74" s="211"/>
      <c r="Q74" s="213"/>
    </row>
    <row r="75" spans="1:17" s="51" customFormat="1" ht="15.75" customHeight="1">
      <c r="A75" s="208" t="s">
        <v>546</v>
      </c>
      <c r="B75" s="208"/>
      <c r="C75" s="208"/>
      <c r="D75" s="208"/>
      <c r="E75" s="208" t="s">
        <v>546</v>
      </c>
      <c r="F75" s="209"/>
      <c r="G75" s="210"/>
      <c r="H75" s="211"/>
      <c r="I75" s="212"/>
      <c r="J75" s="211"/>
      <c r="K75" s="212"/>
      <c r="L75" s="435">
        <f t="shared" si="1"/>
        <v>0</v>
      </c>
      <c r="M75" s="211"/>
      <c r="N75" s="211"/>
      <c r="O75" s="211"/>
      <c r="P75" s="211"/>
      <c r="Q75" s="213"/>
    </row>
    <row r="76" spans="1:17" s="51" customFormat="1" ht="15.75" customHeight="1">
      <c r="A76" s="208" t="s">
        <v>546</v>
      </c>
      <c r="B76" s="208"/>
      <c r="C76" s="208"/>
      <c r="D76" s="208"/>
      <c r="E76" s="208" t="s">
        <v>546</v>
      </c>
      <c r="F76" s="209"/>
      <c r="G76" s="210"/>
      <c r="H76" s="211"/>
      <c r="I76" s="212"/>
      <c r="J76" s="211"/>
      <c r="K76" s="212"/>
      <c r="L76" s="435">
        <f t="shared" si="1"/>
        <v>0</v>
      </c>
      <c r="M76" s="211"/>
      <c r="N76" s="211"/>
      <c r="O76" s="211"/>
      <c r="P76" s="211"/>
      <c r="Q76" s="213"/>
    </row>
    <row r="77" spans="1:17" s="51" customFormat="1" ht="15.75" customHeight="1">
      <c r="A77" s="208" t="s">
        <v>546</v>
      </c>
      <c r="B77" s="208"/>
      <c r="C77" s="208"/>
      <c r="D77" s="208"/>
      <c r="E77" s="208" t="s">
        <v>546</v>
      </c>
      <c r="F77" s="209"/>
      <c r="G77" s="210"/>
      <c r="H77" s="211"/>
      <c r="I77" s="212"/>
      <c r="J77" s="211"/>
      <c r="K77" s="212"/>
      <c r="L77" s="435">
        <f t="shared" si="1"/>
        <v>0</v>
      </c>
      <c r="M77" s="211"/>
      <c r="N77" s="211"/>
      <c r="O77" s="211"/>
      <c r="P77" s="211"/>
      <c r="Q77" s="213"/>
    </row>
    <row r="78" spans="1:17" s="51" customFormat="1" ht="15.75" customHeight="1">
      <c r="A78" s="208" t="s">
        <v>546</v>
      </c>
      <c r="B78" s="208"/>
      <c r="C78" s="208"/>
      <c r="D78" s="208"/>
      <c r="E78" s="208" t="s">
        <v>546</v>
      </c>
      <c r="F78" s="209"/>
      <c r="G78" s="210"/>
      <c r="H78" s="211"/>
      <c r="I78" s="212"/>
      <c r="J78" s="211"/>
      <c r="K78" s="212"/>
      <c r="L78" s="435">
        <f t="shared" si="1"/>
        <v>0</v>
      </c>
      <c r="M78" s="211"/>
      <c r="N78" s="211"/>
      <c r="O78" s="211"/>
      <c r="P78" s="211"/>
      <c r="Q78" s="213"/>
    </row>
    <row r="79" spans="1:17" s="51" customFormat="1" ht="15.75" customHeight="1">
      <c r="A79" s="208" t="s">
        <v>546</v>
      </c>
      <c r="B79" s="208"/>
      <c r="C79" s="208"/>
      <c r="D79" s="208"/>
      <c r="E79" s="208" t="s">
        <v>546</v>
      </c>
      <c r="F79" s="209"/>
      <c r="G79" s="210"/>
      <c r="H79" s="211"/>
      <c r="I79" s="212"/>
      <c r="J79" s="211"/>
      <c r="K79" s="212"/>
      <c r="L79" s="435">
        <f t="shared" si="1"/>
        <v>0</v>
      </c>
      <c r="M79" s="211"/>
      <c r="N79" s="211"/>
      <c r="O79" s="211"/>
      <c r="P79" s="211"/>
      <c r="Q79" s="213"/>
    </row>
    <row r="80" spans="1:17" s="51" customFormat="1" ht="15.75" customHeight="1">
      <c r="A80" s="208" t="s">
        <v>546</v>
      </c>
      <c r="B80" s="208"/>
      <c r="C80" s="208"/>
      <c r="D80" s="208"/>
      <c r="E80" s="208" t="s">
        <v>546</v>
      </c>
      <c r="F80" s="209"/>
      <c r="G80" s="210"/>
      <c r="H80" s="211"/>
      <c r="I80" s="212"/>
      <c r="J80" s="211"/>
      <c r="K80" s="212"/>
      <c r="L80" s="435">
        <f t="shared" si="1"/>
        <v>0</v>
      </c>
      <c r="M80" s="211"/>
      <c r="N80" s="211"/>
      <c r="O80" s="211"/>
      <c r="P80" s="211"/>
      <c r="Q80" s="213"/>
    </row>
    <row r="81" spans="1:17" s="51" customFormat="1" ht="15.75" customHeight="1">
      <c r="A81" s="208" t="s">
        <v>546</v>
      </c>
      <c r="B81" s="208"/>
      <c r="C81" s="208"/>
      <c r="D81" s="208"/>
      <c r="E81" s="208" t="s">
        <v>546</v>
      </c>
      <c r="F81" s="209"/>
      <c r="G81" s="210"/>
      <c r="H81" s="211"/>
      <c r="I81" s="212"/>
      <c r="J81" s="211"/>
      <c r="K81" s="212"/>
      <c r="L81" s="435">
        <f aca="true" t="shared" si="2" ref="L81:L144">SUM(K81,I81)</f>
        <v>0</v>
      </c>
      <c r="M81" s="211"/>
      <c r="N81" s="211"/>
      <c r="O81" s="211"/>
      <c r="P81" s="211"/>
      <c r="Q81" s="213"/>
    </row>
    <row r="82" spans="1:17" s="51" customFormat="1" ht="15.75" customHeight="1">
      <c r="A82" s="208" t="s">
        <v>546</v>
      </c>
      <c r="B82" s="208"/>
      <c r="C82" s="208"/>
      <c r="D82" s="208"/>
      <c r="E82" s="208" t="s">
        <v>546</v>
      </c>
      <c r="F82" s="209"/>
      <c r="G82" s="210"/>
      <c r="H82" s="211"/>
      <c r="I82" s="212"/>
      <c r="J82" s="211"/>
      <c r="K82" s="212"/>
      <c r="L82" s="435">
        <f t="shared" si="2"/>
        <v>0</v>
      </c>
      <c r="M82" s="211"/>
      <c r="N82" s="211"/>
      <c r="O82" s="211"/>
      <c r="P82" s="211"/>
      <c r="Q82" s="213"/>
    </row>
    <row r="83" spans="1:17" s="51" customFormat="1" ht="15.75" customHeight="1">
      <c r="A83" s="208" t="s">
        <v>546</v>
      </c>
      <c r="B83" s="208"/>
      <c r="C83" s="208"/>
      <c r="D83" s="208"/>
      <c r="E83" s="208" t="s">
        <v>546</v>
      </c>
      <c r="F83" s="209"/>
      <c r="G83" s="210"/>
      <c r="H83" s="211"/>
      <c r="I83" s="212"/>
      <c r="J83" s="211"/>
      <c r="K83" s="212"/>
      <c r="L83" s="435">
        <f t="shared" si="2"/>
        <v>0</v>
      </c>
      <c r="M83" s="211"/>
      <c r="N83" s="211"/>
      <c r="O83" s="211"/>
      <c r="P83" s="211"/>
      <c r="Q83" s="213"/>
    </row>
    <row r="84" spans="1:17" s="51" customFormat="1" ht="15.75" customHeight="1">
      <c r="A84" s="208" t="s">
        <v>546</v>
      </c>
      <c r="B84" s="208"/>
      <c r="C84" s="208"/>
      <c r="D84" s="208"/>
      <c r="E84" s="208" t="s">
        <v>546</v>
      </c>
      <c r="F84" s="209"/>
      <c r="G84" s="210"/>
      <c r="H84" s="211"/>
      <c r="I84" s="212"/>
      <c r="J84" s="211"/>
      <c r="K84" s="212"/>
      <c r="L84" s="435">
        <f t="shared" si="2"/>
        <v>0</v>
      </c>
      <c r="M84" s="211"/>
      <c r="N84" s="211"/>
      <c r="O84" s="211"/>
      <c r="P84" s="211"/>
      <c r="Q84" s="213"/>
    </row>
    <row r="85" spans="1:17" s="51" customFormat="1" ht="15.75" customHeight="1">
      <c r="A85" s="208" t="s">
        <v>546</v>
      </c>
      <c r="B85" s="208"/>
      <c r="C85" s="208"/>
      <c r="D85" s="208"/>
      <c r="E85" s="208" t="s">
        <v>546</v>
      </c>
      <c r="F85" s="209"/>
      <c r="G85" s="210"/>
      <c r="H85" s="211"/>
      <c r="I85" s="212"/>
      <c r="J85" s="211"/>
      <c r="K85" s="212"/>
      <c r="L85" s="435">
        <f t="shared" si="2"/>
        <v>0</v>
      </c>
      <c r="M85" s="211"/>
      <c r="N85" s="211"/>
      <c r="O85" s="211"/>
      <c r="P85" s="211"/>
      <c r="Q85" s="213"/>
    </row>
    <row r="86" spans="1:17" s="51" customFormat="1" ht="15.75" customHeight="1">
      <c r="A86" s="208" t="s">
        <v>546</v>
      </c>
      <c r="B86" s="208"/>
      <c r="C86" s="208"/>
      <c r="D86" s="208"/>
      <c r="E86" s="208" t="s">
        <v>546</v>
      </c>
      <c r="F86" s="209"/>
      <c r="G86" s="210"/>
      <c r="H86" s="211"/>
      <c r="I86" s="212"/>
      <c r="J86" s="211"/>
      <c r="K86" s="212"/>
      <c r="L86" s="435">
        <f t="shared" si="2"/>
        <v>0</v>
      </c>
      <c r="M86" s="211"/>
      <c r="N86" s="211"/>
      <c r="O86" s="211"/>
      <c r="P86" s="211"/>
      <c r="Q86" s="213"/>
    </row>
    <row r="87" spans="1:17" s="51" customFormat="1" ht="15.75" customHeight="1">
      <c r="A87" s="208" t="s">
        <v>546</v>
      </c>
      <c r="B87" s="208"/>
      <c r="C87" s="208"/>
      <c r="D87" s="208"/>
      <c r="E87" s="208" t="s">
        <v>546</v>
      </c>
      <c r="F87" s="209"/>
      <c r="G87" s="210"/>
      <c r="H87" s="211"/>
      <c r="I87" s="212"/>
      <c r="J87" s="211"/>
      <c r="K87" s="212"/>
      <c r="L87" s="435">
        <f t="shared" si="2"/>
        <v>0</v>
      </c>
      <c r="M87" s="211"/>
      <c r="N87" s="211"/>
      <c r="O87" s="211"/>
      <c r="P87" s="211"/>
      <c r="Q87" s="213"/>
    </row>
    <row r="88" spans="1:17" s="51" customFormat="1" ht="15.75" customHeight="1">
      <c r="A88" s="208" t="s">
        <v>546</v>
      </c>
      <c r="B88" s="208"/>
      <c r="C88" s="208"/>
      <c r="D88" s="208"/>
      <c r="E88" s="208" t="s">
        <v>546</v>
      </c>
      <c r="F88" s="209"/>
      <c r="G88" s="210"/>
      <c r="H88" s="211"/>
      <c r="I88" s="212"/>
      <c r="J88" s="211"/>
      <c r="K88" s="212"/>
      <c r="L88" s="435">
        <f t="shared" si="2"/>
        <v>0</v>
      </c>
      <c r="M88" s="211"/>
      <c r="N88" s="211"/>
      <c r="O88" s="211"/>
      <c r="P88" s="211"/>
      <c r="Q88" s="213"/>
    </row>
    <row r="89" spans="1:17" s="51" customFormat="1" ht="15.75" customHeight="1">
      <c r="A89" s="208" t="s">
        <v>546</v>
      </c>
      <c r="B89" s="208"/>
      <c r="C89" s="208"/>
      <c r="D89" s="208"/>
      <c r="E89" s="208" t="s">
        <v>546</v>
      </c>
      <c r="F89" s="209"/>
      <c r="G89" s="210"/>
      <c r="H89" s="211"/>
      <c r="I89" s="212"/>
      <c r="J89" s="211"/>
      <c r="K89" s="212"/>
      <c r="L89" s="435">
        <f t="shared" si="2"/>
        <v>0</v>
      </c>
      <c r="M89" s="211"/>
      <c r="N89" s="211"/>
      <c r="O89" s="211"/>
      <c r="P89" s="211"/>
      <c r="Q89" s="213"/>
    </row>
    <row r="90" spans="1:17" s="51" customFormat="1" ht="15.75" customHeight="1">
      <c r="A90" s="208" t="s">
        <v>546</v>
      </c>
      <c r="B90" s="208"/>
      <c r="C90" s="208"/>
      <c r="D90" s="208"/>
      <c r="E90" s="208" t="s">
        <v>546</v>
      </c>
      <c r="F90" s="209"/>
      <c r="G90" s="210"/>
      <c r="H90" s="211"/>
      <c r="I90" s="212"/>
      <c r="J90" s="211"/>
      <c r="K90" s="212"/>
      <c r="L90" s="435">
        <f t="shared" si="2"/>
        <v>0</v>
      </c>
      <c r="M90" s="211"/>
      <c r="N90" s="211"/>
      <c r="O90" s="211"/>
      <c r="P90" s="211"/>
      <c r="Q90" s="213"/>
    </row>
    <row r="91" spans="1:17" s="51" customFormat="1" ht="15.75" customHeight="1">
      <c r="A91" s="208" t="s">
        <v>546</v>
      </c>
      <c r="B91" s="208"/>
      <c r="C91" s="208"/>
      <c r="D91" s="208"/>
      <c r="E91" s="208" t="s">
        <v>546</v>
      </c>
      <c r="F91" s="209"/>
      <c r="G91" s="210"/>
      <c r="H91" s="211"/>
      <c r="I91" s="212"/>
      <c r="J91" s="211"/>
      <c r="K91" s="212"/>
      <c r="L91" s="435">
        <f t="shared" si="2"/>
        <v>0</v>
      </c>
      <c r="M91" s="211"/>
      <c r="N91" s="211"/>
      <c r="O91" s="211"/>
      <c r="P91" s="211"/>
      <c r="Q91" s="213"/>
    </row>
    <row r="92" spans="1:17" s="51" customFormat="1" ht="15.75" customHeight="1">
      <c r="A92" s="208" t="s">
        <v>546</v>
      </c>
      <c r="B92" s="208"/>
      <c r="C92" s="208"/>
      <c r="D92" s="208"/>
      <c r="E92" s="208" t="s">
        <v>546</v>
      </c>
      <c r="F92" s="209"/>
      <c r="G92" s="210"/>
      <c r="H92" s="211"/>
      <c r="I92" s="212"/>
      <c r="J92" s="211"/>
      <c r="K92" s="212"/>
      <c r="L92" s="435">
        <f t="shared" si="2"/>
        <v>0</v>
      </c>
      <c r="M92" s="211"/>
      <c r="N92" s="211"/>
      <c r="O92" s="211"/>
      <c r="P92" s="211"/>
      <c r="Q92" s="213"/>
    </row>
    <row r="93" spans="1:17" s="51" customFormat="1" ht="15.75" customHeight="1">
      <c r="A93" s="208" t="s">
        <v>546</v>
      </c>
      <c r="B93" s="208"/>
      <c r="C93" s="208"/>
      <c r="D93" s="208"/>
      <c r="E93" s="208" t="s">
        <v>546</v>
      </c>
      <c r="F93" s="209"/>
      <c r="G93" s="210"/>
      <c r="H93" s="211"/>
      <c r="I93" s="212"/>
      <c r="J93" s="211"/>
      <c r="K93" s="212"/>
      <c r="L93" s="435">
        <f t="shared" si="2"/>
        <v>0</v>
      </c>
      <c r="M93" s="211"/>
      <c r="N93" s="211"/>
      <c r="O93" s="211"/>
      <c r="P93" s="211"/>
      <c r="Q93" s="213"/>
    </row>
    <row r="94" spans="1:17" s="51" customFormat="1" ht="15.75" customHeight="1">
      <c r="A94" s="208" t="s">
        <v>546</v>
      </c>
      <c r="B94" s="208"/>
      <c r="C94" s="208"/>
      <c r="D94" s="208"/>
      <c r="E94" s="208" t="s">
        <v>546</v>
      </c>
      <c r="F94" s="209"/>
      <c r="G94" s="210"/>
      <c r="H94" s="211"/>
      <c r="I94" s="212"/>
      <c r="J94" s="211"/>
      <c r="K94" s="212"/>
      <c r="L94" s="435">
        <f t="shared" si="2"/>
        <v>0</v>
      </c>
      <c r="M94" s="211"/>
      <c r="N94" s="211"/>
      <c r="O94" s="211"/>
      <c r="P94" s="211"/>
      <c r="Q94" s="213"/>
    </row>
    <row r="95" spans="1:17" s="51" customFormat="1" ht="15.75" customHeight="1">
      <c r="A95" s="208" t="s">
        <v>546</v>
      </c>
      <c r="B95" s="208"/>
      <c r="C95" s="208"/>
      <c r="D95" s="208"/>
      <c r="E95" s="208" t="s">
        <v>546</v>
      </c>
      <c r="F95" s="209"/>
      <c r="G95" s="210"/>
      <c r="H95" s="211"/>
      <c r="I95" s="212"/>
      <c r="J95" s="211"/>
      <c r="K95" s="212"/>
      <c r="L95" s="435">
        <f t="shared" si="2"/>
        <v>0</v>
      </c>
      <c r="M95" s="211"/>
      <c r="N95" s="211"/>
      <c r="O95" s="211"/>
      <c r="P95" s="211"/>
      <c r="Q95" s="213"/>
    </row>
    <row r="96" spans="1:17" s="51" customFormat="1" ht="15.75" customHeight="1">
      <c r="A96" s="208" t="s">
        <v>546</v>
      </c>
      <c r="B96" s="208"/>
      <c r="C96" s="208"/>
      <c r="D96" s="208"/>
      <c r="E96" s="208" t="s">
        <v>546</v>
      </c>
      <c r="F96" s="209"/>
      <c r="G96" s="210"/>
      <c r="H96" s="211"/>
      <c r="I96" s="212"/>
      <c r="J96" s="211"/>
      <c r="K96" s="212"/>
      <c r="L96" s="435">
        <f t="shared" si="2"/>
        <v>0</v>
      </c>
      <c r="M96" s="211"/>
      <c r="N96" s="211"/>
      <c r="O96" s="211"/>
      <c r="P96" s="211"/>
      <c r="Q96" s="213"/>
    </row>
    <row r="97" spans="1:17" s="51" customFormat="1" ht="15.75" customHeight="1">
      <c r="A97" s="208" t="s">
        <v>546</v>
      </c>
      <c r="B97" s="208"/>
      <c r="C97" s="208"/>
      <c r="D97" s="208"/>
      <c r="E97" s="208" t="s">
        <v>546</v>
      </c>
      <c r="F97" s="209"/>
      <c r="G97" s="210"/>
      <c r="H97" s="211"/>
      <c r="I97" s="212"/>
      <c r="J97" s="211"/>
      <c r="K97" s="212"/>
      <c r="L97" s="435">
        <f t="shared" si="2"/>
        <v>0</v>
      </c>
      <c r="M97" s="211"/>
      <c r="N97" s="211"/>
      <c r="O97" s="211"/>
      <c r="P97" s="211"/>
      <c r="Q97" s="213"/>
    </row>
    <row r="98" spans="1:17" s="51" customFormat="1" ht="15.75" customHeight="1">
      <c r="A98" s="208" t="s">
        <v>546</v>
      </c>
      <c r="B98" s="208"/>
      <c r="C98" s="208"/>
      <c r="D98" s="208"/>
      <c r="E98" s="208" t="s">
        <v>546</v>
      </c>
      <c r="F98" s="209"/>
      <c r="G98" s="210"/>
      <c r="H98" s="211"/>
      <c r="I98" s="212"/>
      <c r="J98" s="211"/>
      <c r="K98" s="212"/>
      <c r="L98" s="435">
        <f t="shared" si="2"/>
        <v>0</v>
      </c>
      <c r="M98" s="211"/>
      <c r="N98" s="211"/>
      <c r="O98" s="211"/>
      <c r="P98" s="211"/>
      <c r="Q98" s="213"/>
    </row>
    <row r="99" spans="1:17" s="51" customFormat="1" ht="15.75" customHeight="1">
      <c r="A99" s="208" t="s">
        <v>546</v>
      </c>
      <c r="B99" s="208"/>
      <c r="C99" s="208"/>
      <c r="D99" s="208"/>
      <c r="E99" s="208" t="s">
        <v>546</v>
      </c>
      <c r="F99" s="209"/>
      <c r="G99" s="210"/>
      <c r="H99" s="211"/>
      <c r="I99" s="212"/>
      <c r="J99" s="211"/>
      <c r="K99" s="212"/>
      <c r="L99" s="435">
        <f t="shared" si="2"/>
        <v>0</v>
      </c>
      <c r="M99" s="211"/>
      <c r="N99" s="211"/>
      <c r="O99" s="211"/>
      <c r="P99" s="211"/>
      <c r="Q99" s="213"/>
    </row>
    <row r="100" spans="1:17" s="51" customFormat="1" ht="15.75" customHeight="1">
      <c r="A100" s="208" t="s">
        <v>546</v>
      </c>
      <c r="B100" s="208"/>
      <c r="C100" s="208"/>
      <c r="D100" s="208"/>
      <c r="E100" s="208" t="s">
        <v>546</v>
      </c>
      <c r="F100" s="209"/>
      <c r="G100" s="210"/>
      <c r="H100" s="211"/>
      <c r="I100" s="212"/>
      <c r="J100" s="211"/>
      <c r="K100" s="212"/>
      <c r="L100" s="435">
        <f t="shared" si="2"/>
        <v>0</v>
      </c>
      <c r="M100" s="211"/>
      <c r="N100" s="211"/>
      <c r="O100" s="211"/>
      <c r="P100" s="211"/>
      <c r="Q100" s="213"/>
    </row>
    <row r="101" spans="1:17" s="51" customFormat="1" ht="15.75" customHeight="1">
      <c r="A101" s="208" t="s">
        <v>546</v>
      </c>
      <c r="B101" s="208"/>
      <c r="C101" s="208"/>
      <c r="D101" s="208"/>
      <c r="E101" s="208" t="s">
        <v>546</v>
      </c>
      <c r="F101" s="209"/>
      <c r="G101" s="210"/>
      <c r="H101" s="211"/>
      <c r="I101" s="212"/>
      <c r="J101" s="211"/>
      <c r="K101" s="212"/>
      <c r="L101" s="435">
        <f t="shared" si="2"/>
        <v>0</v>
      </c>
      <c r="M101" s="211"/>
      <c r="N101" s="211"/>
      <c r="O101" s="211"/>
      <c r="P101" s="211"/>
      <c r="Q101" s="213"/>
    </row>
    <row r="102" spans="1:17" s="51" customFormat="1" ht="15.75" customHeight="1">
      <c r="A102" s="208" t="s">
        <v>546</v>
      </c>
      <c r="B102" s="208"/>
      <c r="C102" s="208"/>
      <c r="D102" s="208"/>
      <c r="E102" s="208" t="s">
        <v>546</v>
      </c>
      <c r="F102" s="209"/>
      <c r="G102" s="210"/>
      <c r="H102" s="211"/>
      <c r="I102" s="212"/>
      <c r="J102" s="211"/>
      <c r="K102" s="212"/>
      <c r="L102" s="435">
        <f t="shared" si="2"/>
        <v>0</v>
      </c>
      <c r="M102" s="211"/>
      <c r="N102" s="211"/>
      <c r="O102" s="211"/>
      <c r="P102" s="211"/>
      <c r="Q102" s="213"/>
    </row>
    <row r="103" spans="1:17" s="51" customFormat="1" ht="15.75" customHeight="1">
      <c r="A103" s="208" t="s">
        <v>546</v>
      </c>
      <c r="B103" s="208"/>
      <c r="C103" s="208"/>
      <c r="D103" s="208"/>
      <c r="E103" s="208" t="s">
        <v>546</v>
      </c>
      <c r="F103" s="209"/>
      <c r="G103" s="210"/>
      <c r="H103" s="211"/>
      <c r="I103" s="212"/>
      <c r="J103" s="211"/>
      <c r="K103" s="212"/>
      <c r="L103" s="435">
        <f t="shared" si="2"/>
        <v>0</v>
      </c>
      <c r="M103" s="211"/>
      <c r="N103" s="211"/>
      <c r="O103" s="211"/>
      <c r="P103" s="211"/>
      <c r="Q103" s="213"/>
    </row>
    <row r="104" spans="1:17" s="51" customFormat="1" ht="15.75" customHeight="1">
      <c r="A104" s="208" t="s">
        <v>546</v>
      </c>
      <c r="B104" s="208"/>
      <c r="C104" s="208"/>
      <c r="D104" s="208"/>
      <c r="E104" s="208" t="s">
        <v>546</v>
      </c>
      <c r="F104" s="209"/>
      <c r="G104" s="210"/>
      <c r="H104" s="211"/>
      <c r="I104" s="212"/>
      <c r="J104" s="211"/>
      <c r="K104" s="212"/>
      <c r="L104" s="435">
        <f t="shared" si="2"/>
        <v>0</v>
      </c>
      <c r="M104" s="211"/>
      <c r="N104" s="211"/>
      <c r="O104" s="211"/>
      <c r="P104" s="211"/>
      <c r="Q104" s="213"/>
    </row>
    <row r="105" spans="1:17" s="51" customFormat="1" ht="15.75" customHeight="1">
      <c r="A105" s="208" t="s">
        <v>546</v>
      </c>
      <c r="B105" s="208"/>
      <c r="C105" s="208"/>
      <c r="D105" s="208"/>
      <c r="E105" s="208" t="s">
        <v>546</v>
      </c>
      <c r="F105" s="209"/>
      <c r="G105" s="210"/>
      <c r="H105" s="211"/>
      <c r="I105" s="212"/>
      <c r="J105" s="211"/>
      <c r="K105" s="212"/>
      <c r="L105" s="435">
        <f t="shared" si="2"/>
        <v>0</v>
      </c>
      <c r="M105" s="211"/>
      <c r="N105" s="211"/>
      <c r="O105" s="211"/>
      <c r="P105" s="211"/>
      <c r="Q105" s="213"/>
    </row>
    <row r="106" spans="1:17" s="51" customFormat="1" ht="15.75" customHeight="1">
      <c r="A106" s="208" t="s">
        <v>546</v>
      </c>
      <c r="B106" s="208"/>
      <c r="C106" s="208"/>
      <c r="D106" s="208"/>
      <c r="E106" s="208" t="s">
        <v>546</v>
      </c>
      <c r="F106" s="209"/>
      <c r="G106" s="210"/>
      <c r="H106" s="211"/>
      <c r="I106" s="212"/>
      <c r="J106" s="211"/>
      <c r="K106" s="212"/>
      <c r="L106" s="435">
        <f t="shared" si="2"/>
        <v>0</v>
      </c>
      <c r="M106" s="211"/>
      <c r="N106" s="211"/>
      <c r="O106" s="211"/>
      <c r="P106" s="211"/>
      <c r="Q106" s="213"/>
    </row>
    <row r="107" spans="1:17" s="51" customFormat="1" ht="15.75" customHeight="1">
      <c r="A107" s="208" t="s">
        <v>546</v>
      </c>
      <c r="B107" s="208"/>
      <c r="C107" s="208"/>
      <c r="D107" s="208"/>
      <c r="E107" s="208" t="s">
        <v>546</v>
      </c>
      <c r="F107" s="209"/>
      <c r="G107" s="210"/>
      <c r="H107" s="211"/>
      <c r="I107" s="212"/>
      <c r="J107" s="211"/>
      <c r="K107" s="212"/>
      <c r="L107" s="435">
        <f t="shared" si="2"/>
        <v>0</v>
      </c>
      <c r="M107" s="211"/>
      <c r="N107" s="211"/>
      <c r="O107" s="211"/>
      <c r="P107" s="211"/>
      <c r="Q107" s="213"/>
    </row>
    <row r="108" spans="1:17" s="51" customFormat="1" ht="15.75" customHeight="1">
      <c r="A108" s="208" t="s">
        <v>546</v>
      </c>
      <c r="B108" s="208"/>
      <c r="C108" s="208"/>
      <c r="D108" s="208"/>
      <c r="E108" s="208" t="s">
        <v>546</v>
      </c>
      <c r="F108" s="209"/>
      <c r="G108" s="210"/>
      <c r="H108" s="211"/>
      <c r="I108" s="212"/>
      <c r="J108" s="211"/>
      <c r="K108" s="212"/>
      <c r="L108" s="435">
        <f t="shared" si="2"/>
        <v>0</v>
      </c>
      <c r="M108" s="211"/>
      <c r="N108" s="211"/>
      <c r="O108" s="211"/>
      <c r="P108" s="211"/>
      <c r="Q108" s="213"/>
    </row>
    <row r="109" spans="1:17" s="51" customFormat="1" ht="15.75" customHeight="1">
      <c r="A109" s="208" t="s">
        <v>546</v>
      </c>
      <c r="B109" s="208"/>
      <c r="C109" s="208"/>
      <c r="D109" s="208"/>
      <c r="E109" s="208" t="s">
        <v>546</v>
      </c>
      <c r="F109" s="209"/>
      <c r="G109" s="210"/>
      <c r="H109" s="211"/>
      <c r="I109" s="212"/>
      <c r="J109" s="211"/>
      <c r="K109" s="212"/>
      <c r="L109" s="435">
        <f t="shared" si="2"/>
        <v>0</v>
      </c>
      <c r="M109" s="211"/>
      <c r="N109" s="211"/>
      <c r="O109" s="211"/>
      <c r="P109" s="211"/>
      <c r="Q109" s="213"/>
    </row>
    <row r="110" spans="1:17" s="51" customFormat="1" ht="15.75" customHeight="1">
      <c r="A110" s="208" t="s">
        <v>546</v>
      </c>
      <c r="B110" s="208"/>
      <c r="C110" s="208"/>
      <c r="D110" s="208"/>
      <c r="E110" s="208" t="s">
        <v>546</v>
      </c>
      <c r="F110" s="209"/>
      <c r="G110" s="210"/>
      <c r="H110" s="211"/>
      <c r="I110" s="212"/>
      <c r="J110" s="211"/>
      <c r="K110" s="212"/>
      <c r="L110" s="435">
        <f t="shared" si="2"/>
        <v>0</v>
      </c>
      <c r="M110" s="211"/>
      <c r="N110" s="211"/>
      <c r="O110" s="211"/>
      <c r="P110" s="211"/>
      <c r="Q110" s="213"/>
    </row>
    <row r="111" spans="1:17" s="51" customFormat="1" ht="15.75" customHeight="1">
      <c r="A111" s="208" t="s">
        <v>546</v>
      </c>
      <c r="B111" s="208"/>
      <c r="C111" s="208"/>
      <c r="D111" s="208"/>
      <c r="E111" s="208" t="s">
        <v>546</v>
      </c>
      <c r="F111" s="209"/>
      <c r="G111" s="210"/>
      <c r="H111" s="211"/>
      <c r="I111" s="212"/>
      <c r="J111" s="211"/>
      <c r="K111" s="212"/>
      <c r="L111" s="435">
        <f t="shared" si="2"/>
        <v>0</v>
      </c>
      <c r="M111" s="211"/>
      <c r="N111" s="211"/>
      <c r="O111" s="211"/>
      <c r="P111" s="211"/>
      <c r="Q111" s="213"/>
    </row>
    <row r="112" spans="1:17" s="51" customFormat="1" ht="15.75" customHeight="1">
      <c r="A112" s="208" t="s">
        <v>546</v>
      </c>
      <c r="B112" s="208"/>
      <c r="C112" s="208"/>
      <c r="D112" s="208"/>
      <c r="E112" s="208" t="s">
        <v>546</v>
      </c>
      <c r="F112" s="209"/>
      <c r="G112" s="210"/>
      <c r="H112" s="211"/>
      <c r="I112" s="212"/>
      <c r="J112" s="211"/>
      <c r="K112" s="212"/>
      <c r="L112" s="435">
        <f t="shared" si="2"/>
        <v>0</v>
      </c>
      <c r="M112" s="211"/>
      <c r="N112" s="211"/>
      <c r="O112" s="211"/>
      <c r="P112" s="211"/>
      <c r="Q112" s="213"/>
    </row>
    <row r="113" spans="1:17" s="51" customFormat="1" ht="15.75" customHeight="1">
      <c r="A113" s="208" t="s">
        <v>546</v>
      </c>
      <c r="B113" s="208"/>
      <c r="C113" s="208"/>
      <c r="D113" s="208"/>
      <c r="E113" s="208" t="s">
        <v>546</v>
      </c>
      <c r="F113" s="209"/>
      <c r="G113" s="210"/>
      <c r="H113" s="211"/>
      <c r="I113" s="212"/>
      <c r="J113" s="211"/>
      <c r="K113" s="212"/>
      <c r="L113" s="435">
        <f t="shared" si="2"/>
        <v>0</v>
      </c>
      <c r="M113" s="211"/>
      <c r="N113" s="211"/>
      <c r="O113" s="211"/>
      <c r="P113" s="211"/>
      <c r="Q113" s="213"/>
    </row>
    <row r="114" spans="1:17" s="51" customFormat="1" ht="15.75" customHeight="1">
      <c r="A114" s="208" t="s">
        <v>546</v>
      </c>
      <c r="B114" s="208"/>
      <c r="C114" s="208"/>
      <c r="D114" s="208"/>
      <c r="E114" s="208" t="s">
        <v>546</v>
      </c>
      <c r="F114" s="209"/>
      <c r="G114" s="210"/>
      <c r="H114" s="211"/>
      <c r="I114" s="212"/>
      <c r="J114" s="211"/>
      <c r="K114" s="212"/>
      <c r="L114" s="435">
        <f t="shared" si="2"/>
        <v>0</v>
      </c>
      <c r="M114" s="211"/>
      <c r="N114" s="211"/>
      <c r="O114" s="211"/>
      <c r="P114" s="211"/>
      <c r="Q114" s="213"/>
    </row>
    <row r="115" spans="1:17" s="51" customFormat="1" ht="15.75" customHeight="1">
      <c r="A115" s="208" t="s">
        <v>546</v>
      </c>
      <c r="B115" s="208"/>
      <c r="C115" s="208"/>
      <c r="D115" s="208"/>
      <c r="E115" s="208" t="s">
        <v>546</v>
      </c>
      <c r="F115" s="209"/>
      <c r="G115" s="210"/>
      <c r="H115" s="211"/>
      <c r="I115" s="212"/>
      <c r="J115" s="211"/>
      <c r="K115" s="212"/>
      <c r="L115" s="435">
        <f t="shared" si="2"/>
        <v>0</v>
      </c>
      <c r="M115" s="211"/>
      <c r="N115" s="211"/>
      <c r="O115" s="211"/>
      <c r="P115" s="211"/>
      <c r="Q115" s="213"/>
    </row>
    <row r="116" spans="1:17" ht="15.75" customHeight="1">
      <c r="A116" s="208" t="s">
        <v>546</v>
      </c>
      <c r="B116" s="208"/>
      <c r="C116" s="208"/>
      <c r="D116" s="208"/>
      <c r="E116" s="208" t="s">
        <v>546</v>
      </c>
      <c r="F116" s="209"/>
      <c r="G116" s="210"/>
      <c r="H116" s="211"/>
      <c r="I116" s="212"/>
      <c r="J116" s="211"/>
      <c r="K116" s="212"/>
      <c r="L116" s="435">
        <f t="shared" si="2"/>
        <v>0</v>
      </c>
      <c r="M116" s="211"/>
      <c r="N116" s="211"/>
      <c r="O116" s="211"/>
      <c r="P116" s="211"/>
      <c r="Q116" s="213"/>
    </row>
    <row r="117" spans="1:17" ht="15.75" customHeight="1">
      <c r="A117" s="208" t="s">
        <v>546</v>
      </c>
      <c r="B117" s="208"/>
      <c r="C117" s="208"/>
      <c r="D117" s="208"/>
      <c r="E117" s="208" t="s">
        <v>546</v>
      </c>
      <c r="F117" s="209"/>
      <c r="G117" s="210"/>
      <c r="H117" s="211"/>
      <c r="I117" s="212"/>
      <c r="J117" s="211"/>
      <c r="K117" s="212"/>
      <c r="L117" s="435">
        <f t="shared" si="2"/>
        <v>0</v>
      </c>
      <c r="M117" s="211"/>
      <c r="N117" s="211"/>
      <c r="O117" s="211"/>
      <c r="P117" s="211"/>
      <c r="Q117" s="213"/>
    </row>
    <row r="118" spans="1:17" ht="15.75" customHeight="1">
      <c r="A118" s="208" t="s">
        <v>546</v>
      </c>
      <c r="B118" s="208"/>
      <c r="C118" s="208"/>
      <c r="D118" s="208"/>
      <c r="E118" s="208" t="s">
        <v>546</v>
      </c>
      <c r="F118" s="209"/>
      <c r="G118" s="210"/>
      <c r="H118" s="211"/>
      <c r="I118" s="212"/>
      <c r="J118" s="211"/>
      <c r="K118" s="212"/>
      <c r="L118" s="435">
        <f t="shared" si="2"/>
        <v>0</v>
      </c>
      <c r="M118" s="211"/>
      <c r="N118" s="211"/>
      <c r="O118" s="211"/>
      <c r="P118" s="211"/>
      <c r="Q118" s="213"/>
    </row>
    <row r="119" spans="1:17" ht="15.75" customHeight="1">
      <c r="A119" s="208" t="s">
        <v>546</v>
      </c>
      <c r="B119" s="208"/>
      <c r="C119" s="208"/>
      <c r="D119" s="208"/>
      <c r="E119" s="208" t="s">
        <v>546</v>
      </c>
      <c r="F119" s="209"/>
      <c r="G119" s="210"/>
      <c r="H119" s="211"/>
      <c r="I119" s="212"/>
      <c r="J119" s="211"/>
      <c r="K119" s="212"/>
      <c r="L119" s="435">
        <f t="shared" si="2"/>
        <v>0</v>
      </c>
      <c r="M119" s="211"/>
      <c r="N119" s="211"/>
      <c r="O119" s="211"/>
      <c r="P119" s="211"/>
      <c r="Q119" s="213"/>
    </row>
    <row r="120" spans="1:17" ht="15.75" customHeight="1">
      <c r="A120" s="208" t="s">
        <v>546</v>
      </c>
      <c r="B120" s="208"/>
      <c r="C120" s="208"/>
      <c r="D120" s="208"/>
      <c r="E120" s="208" t="s">
        <v>546</v>
      </c>
      <c r="F120" s="209"/>
      <c r="G120" s="210"/>
      <c r="H120" s="211"/>
      <c r="I120" s="212"/>
      <c r="J120" s="211"/>
      <c r="K120" s="212"/>
      <c r="L120" s="435">
        <f t="shared" si="2"/>
        <v>0</v>
      </c>
      <c r="M120" s="211"/>
      <c r="N120" s="211"/>
      <c r="O120" s="211"/>
      <c r="P120" s="211"/>
      <c r="Q120" s="213"/>
    </row>
    <row r="121" spans="1:17" ht="15.75" customHeight="1">
      <c r="A121" s="208" t="s">
        <v>546</v>
      </c>
      <c r="B121" s="208"/>
      <c r="C121" s="208"/>
      <c r="D121" s="208"/>
      <c r="E121" s="208" t="s">
        <v>546</v>
      </c>
      <c r="F121" s="209"/>
      <c r="G121" s="210"/>
      <c r="H121" s="211"/>
      <c r="I121" s="212"/>
      <c r="J121" s="211"/>
      <c r="K121" s="212"/>
      <c r="L121" s="435">
        <f t="shared" si="2"/>
        <v>0</v>
      </c>
      <c r="M121" s="211"/>
      <c r="N121" s="211"/>
      <c r="O121" s="211"/>
      <c r="P121" s="211"/>
      <c r="Q121" s="213"/>
    </row>
    <row r="122" spans="1:17" ht="15.75" customHeight="1">
      <c r="A122" s="208" t="s">
        <v>546</v>
      </c>
      <c r="B122" s="208"/>
      <c r="C122" s="208"/>
      <c r="D122" s="208"/>
      <c r="E122" s="208" t="s">
        <v>546</v>
      </c>
      <c r="F122" s="209"/>
      <c r="G122" s="210"/>
      <c r="H122" s="211"/>
      <c r="I122" s="212"/>
      <c r="J122" s="211"/>
      <c r="K122" s="212"/>
      <c r="L122" s="435">
        <f t="shared" si="2"/>
        <v>0</v>
      </c>
      <c r="M122" s="211"/>
      <c r="N122" s="211"/>
      <c r="O122" s="211"/>
      <c r="P122" s="211"/>
      <c r="Q122" s="213"/>
    </row>
    <row r="123" spans="1:17" ht="15.75" customHeight="1">
      <c r="A123" s="208" t="s">
        <v>546</v>
      </c>
      <c r="B123" s="208"/>
      <c r="C123" s="208"/>
      <c r="D123" s="208"/>
      <c r="E123" s="208" t="s">
        <v>546</v>
      </c>
      <c r="F123" s="209"/>
      <c r="G123" s="210"/>
      <c r="H123" s="211"/>
      <c r="I123" s="212"/>
      <c r="J123" s="211"/>
      <c r="K123" s="212"/>
      <c r="L123" s="435">
        <f t="shared" si="2"/>
        <v>0</v>
      </c>
      <c r="M123" s="211"/>
      <c r="N123" s="211"/>
      <c r="O123" s="211"/>
      <c r="P123" s="211"/>
      <c r="Q123" s="213"/>
    </row>
    <row r="124" spans="1:17" ht="15.75" customHeight="1">
      <c r="A124" s="208" t="s">
        <v>546</v>
      </c>
      <c r="B124" s="208"/>
      <c r="C124" s="208"/>
      <c r="D124" s="208"/>
      <c r="E124" s="208" t="s">
        <v>546</v>
      </c>
      <c r="F124" s="209"/>
      <c r="G124" s="210"/>
      <c r="H124" s="211"/>
      <c r="I124" s="212"/>
      <c r="J124" s="211"/>
      <c r="K124" s="212"/>
      <c r="L124" s="435">
        <f t="shared" si="2"/>
        <v>0</v>
      </c>
      <c r="M124" s="211"/>
      <c r="N124" s="211"/>
      <c r="O124" s="211"/>
      <c r="P124" s="211"/>
      <c r="Q124" s="213"/>
    </row>
    <row r="125" spans="1:17" ht="15.75" customHeight="1">
      <c r="A125" s="208" t="s">
        <v>546</v>
      </c>
      <c r="B125" s="208"/>
      <c r="C125" s="208"/>
      <c r="D125" s="208"/>
      <c r="E125" s="208" t="s">
        <v>546</v>
      </c>
      <c r="F125" s="209"/>
      <c r="G125" s="210"/>
      <c r="H125" s="211"/>
      <c r="I125" s="212"/>
      <c r="J125" s="211"/>
      <c r="K125" s="212"/>
      <c r="L125" s="435">
        <f t="shared" si="2"/>
        <v>0</v>
      </c>
      <c r="M125" s="211"/>
      <c r="N125" s="211"/>
      <c r="O125" s="211"/>
      <c r="P125" s="211"/>
      <c r="Q125" s="213"/>
    </row>
    <row r="126" spans="1:17" ht="15.75" customHeight="1">
      <c r="A126" s="208" t="s">
        <v>546</v>
      </c>
      <c r="B126" s="208"/>
      <c r="C126" s="208"/>
      <c r="D126" s="208"/>
      <c r="E126" s="208" t="s">
        <v>546</v>
      </c>
      <c r="F126" s="209"/>
      <c r="G126" s="210"/>
      <c r="H126" s="211"/>
      <c r="I126" s="212"/>
      <c r="J126" s="211"/>
      <c r="K126" s="212"/>
      <c r="L126" s="435">
        <f t="shared" si="2"/>
        <v>0</v>
      </c>
      <c r="M126" s="211"/>
      <c r="N126" s="211"/>
      <c r="O126" s="211"/>
      <c r="P126" s="211"/>
      <c r="Q126" s="213"/>
    </row>
    <row r="127" spans="1:17" ht="15.75" customHeight="1">
      <c r="A127" s="208" t="s">
        <v>546</v>
      </c>
      <c r="B127" s="208"/>
      <c r="C127" s="208"/>
      <c r="D127" s="208"/>
      <c r="E127" s="208" t="s">
        <v>546</v>
      </c>
      <c r="F127" s="209"/>
      <c r="G127" s="210"/>
      <c r="H127" s="211"/>
      <c r="I127" s="212"/>
      <c r="J127" s="211"/>
      <c r="K127" s="212"/>
      <c r="L127" s="435">
        <f t="shared" si="2"/>
        <v>0</v>
      </c>
      <c r="M127" s="211"/>
      <c r="N127" s="211"/>
      <c r="O127" s="211"/>
      <c r="P127" s="211"/>
      <c r="Q127" s="213"/>
    </row>
    <row r="128" spans="1:17" ht="15.75" customHeight="1">
      <c r="A128" s="208" t="s">
        <v>546</v>
      </c>
      <c r="B128" s="208"/>
      <c r="C128" s="208"/>
      <c r="D128" s="208"/>
      <c r="E128" s="208" t="s">
        <v>546</v>
      </c>
      <c r="F128" s="209"/>
      <c r="G128" s="210"/>
      <c r="H128" s="211"/>
      <c r="I128" s="212"/>
      <c r="J128" s="211"/>
      <c r="K128" s="212"/>
      <c r="L128" s="435">
        <f t="shared" si="2"/>
        <v>0</v>
      </c>
      <c r="M128" s="211"/>
      <c r="N128" s="211"/>
      <c r="O128" s="211"/>
      <c r="P128" s="211"/>
      <c r="Q128" s="213"/>
    </row>
    <row r="129" spans="1:17" ht="15.75" customHeight="1">
      <c r="A129" s="208" t="s">
        <v>546</v>
      </c>
      <c r="B129" s="208"/>
      <c r="C129" s="208"/>
      <c r="D129" s="208"/>
      <c r="E129" s="208" t="s">
        <v>546</v>
      </c>
      <c r="F129" s="209"/>
      <c r="G129" s="210"/>
      <c r="H129" s="211"/>
      <c r="I129" s="212"/>
      <c r="J129" s="211"/>
      <c r="K129" s="212"/>
      <c r="L129" s="435">
        <f t="shared" si="2"/>
        <v>0</v>
      </c>
      <c r="M129" s="211"/>
      <c r="N129" s="211"/>
      <c r="O129" s="211"/>
      <c r="P129" s="211"/>
      <c r="Q129" s="213"/>
    </row>
    <row r="130" spans="1:17" ht="15.75" customHeight="1">
      <c r="A130" s="208" t="s">
        <v>546</v>
      </c>
      <c r="B130" s="208"/>
      <c r="C130" s="208"/>
      <c r="D130" s="208"/>
      <c r="E130" s="208" t="s">
        <v>546</v>
      </c>
      <c r="F130" s="209"/>
      <c r="G130" s="210"/>
      <c r="H130" s="211"/>
      <c r="I130" s="212"/>
      <c r="J130" s="211"/>
      <c r="K130" s="212"/>
      <c r="L130" s="435">
        <f t="shared" si="2"/>
        <v>0</v>
      </c>
      <c r="M130" s="211"/>
      <c r="N130" s="211"/>
      <c r="O130" s="211"/>
      <c r="P130" s="211"/>
      <c r="Q130" s="213"/>
    </row>
    <row r="131" spans="1:17" ht="15.75" customHeight="1">
      <c r="A131" s="208" t="s">
        <v>546</v>
      </c>
      <c r="B131" s="208"/>
      <c r="C131" s="208"/>
      <c r="D131" s="208"/>
      <c r="E131" s="208" t="s">
        <v>546</v>
      </c>
      <c r="F131" s="209"/>
      <c r="G131" s="210"/>
      <c r="H131" s="211"/>
      <c r="I131" s="212"/>
      <c r="J131" s="211"/>
      <c r="K131" s="212"/>
      <c r="L131" s="435">
        <f t="shared" si="2"/>
        <v>0</v>
      </c>
      <c r="M131" s="211"/>
      <c r="N131" s="211"/>
      <c r="O131" s="211"/>
      <c r="P131" s="211"/>
      <c r="Q131" s="213"/>
    </row>
    <row r="132" spans="1:17" ht="15.75" customHeight="1">
      <c r="A132" s="208" t="s">
        <v>546</v>
      </c>
      <c r="B132" s="208"/>
      <c r="C132" s="208"/>
      <c r="D132" s="208"/>
      <c r="E132" s="208" t="s">
        <v>546</v>
      </c>
      <c r="F132" s="209"/>
      <c r="G132" s="210"/>
      <c r="H132" s="211"/>
      <c r="I132" s="212"/>
      <c r="J132" s="211"/>
      <c r="K132" s="212"/>
      <c r="L132" s="435">
        <f t="shared" si="2"/>
        <v>0</v>
      </c>
      <c r="M132" s="211"/>
      <c r="N132" s="211"/>
      <c r="O132" s="211"/>
      <c r="P132" s="211"/>
      <c r="Q132" s="213"/>
    </row>
    <row r="133" spans="1:17" ht="15.75" customHeight="1">
      <c r="A133" s="208" t="s">
        <v>546</v>
      </c>
      <c r="B133" s="208"/>
      <c r="C133" s="208"/>
      <c r="D133" s="208"/>
      <c r="E133" s="208" t="s">
        <v>546</v>
      </c>
      <c r="F133" s="209"/>
      <c r="G133" s="210"/>
      <c r="H133" s="211"/>
      <c r="I133" s="212"/>
      <c r="J133" s="211"/>
      <c r="K133" s="212"/>
      <c r="L133" s="435">
        <f t="shared" si="2"/>
        <v>0</v>
      </c>
      <c r="M133" s="211"/>
      <c r="N133" s="211"/>
      <c r="O133" s="211"/>
      <c r="P133" s="211"/>
      <c r="Q133" s="213"/>
    </row>
    <row r="134" spans="1:17" ht="15.75" customHeight="1">
      <c r="A134" s="208" t="s">
        <v>546</v>
      </c>
      <c r="B134" s="208"/>
      <c r="C134" s="208"/>
      <c r="D134" s="208"/>
      <c r="E134" s="208" t="s">
        <v>546</v>
      </c>
      <c r="F134" s="209"/>
      <c r="G134" s="210"/>
      <c r="H134" s="211"/>
      <c r="I134" s="212"/>
      <c r="J134" s="211"/>
      <c r="K134" s="212"/>
      <c r="L134" s="435">
        <f t="shared" si="2"/>
        <v>0</v>
      </c>
      <c r="M134" s="211"/>
      <c r="N134" s="211"/>
      <c r="O134" s="211"/>
      <c r="P134" s="211"/>
      <c r="Q134" s="213"/>
    </row>
    <row r="135" spans="1:17" ht="15.75" customHeight="1">
      <c r="A135" s="208" t="s">
        <v>546</v>
      </c>
      <c r="B135" s="208"/>
      <c r="C135" s="208"/>
      <c r="D135" s="208"/>
      <c r="E135" s="208" t="s">
        <v>546</v>
      </c>
      <c r="F135" s="209"/>
      <c r="G135" s="210"/>
      <c r="H135" s="211"/>
      <c r="I135" s="212"/>
      <c r="J135" s="211"/>
      <c r="K135" s="212"/>
      <c r="L135" s="435">
        <f t="shared" si="2"/>
        <v>0</v>
      </c>
      <c r="M135" s="211"/>
      <c r="N135" s="211"/>
      <c r="O135" s="211"/>
      <c r="P135" s="211"/>
      <c r="Q135" s="213"/>
    </row>
    <row r="136" spans="1:17" ht="15.75" customHeight="1">
      <c r="A136" s="208" t="s">
        <v>546</v>
      </c>
      <c r="B136" s="208"/>
      <c r="C136" s="208"/>
      <c r="D136" s="208"/>
      <c r="E136" s="208" t="s">
        <v>546</v>
      </c>
      <c r="F136" s="209"/>
      <c r="G136" s="210"/>
      <c r="H136" s="211"/>
      <c r="I136" s="212"/>
      <c r="J136" s="211"/>
      <c r="K136" s="212"/>
      <c r="L136" s="435">
        <f t="shared" si="2"/>
        <v>0</v>
      </c>
      <c r="M136" s="211"/>
      <c r="N136" s="211"/>
      <c r="O136" s="211"/>
      <c r="P136" s="211"/>
      <c r="Q136" s="213"/>
    </row>
    <row r="137" spans="1:17" ht="15.75" customHeight="1">
      <c r="A137" s="208" t="s">
        <v>546</v>
      </c>
      <c r="B137" s="208"/>
      <c r="C137" s="208"/>
      <c r="D137" s="208"/>
      <c r="E137" s="208" t="s">
        <v>546</v>
      </c>
      <c r="F137" s="209"/>
      <c r="G137" s="210"/>
      <c r="H137" s="211"/>
      <c r="I137" s="212"/>
      <c r="J137" s="211"/>
      <c r="K137" s="212"/>
      <c r="L137" s="435">
        <f t="shared" si="2"/>
        <v>0</v>
      </c>
      <c r="M137" s="211"/>
      <c r="N137" s="211"/>
      <c r="O137" s="211"/>
      <c r="P137" s="211"/>
      <c r="Q137" s="213"/>
    </row>
    <row r="138" spans="1:17" ht="15.75" customHeight="1">
      <c r="A138" s="208" t="s">
        <v>546</v>
      </c>
      <c r="B138" s="208"/>
      <c r="C138" s="208"/>
      <c r="D138" s="208"/>
      <c r="E138" s="208" t="s">
        <v>546</v>
      </c>
      <c r="F138" s="209"/>
      <c r="G138" s="210"/>
      <c r="H138" s="211"/>
      <c r="I138" s="212"/>
      <c r="J138" s="211"/>
      <c r="K138" s="212"/>
      <c r="L138" s="435">
        <f t="shared" si="2"/>
        <v>0</v>
      </c>
      <c r="M138" s="211"/>
      <c r="N138" s="211"/>
      <c r="O138" s="211"/>
      <c r="P138" s="211"/>
      <c r="Q138" s="213"/>
    </row>
    <row r="139" spans="1:17" ht="15.75" customHeight="1">
      <c r="A139" s="208" t="s">
        <v>546</v>
      </c>
      <c r="B139" s="208"/>
      <c r="C139" s="208"/>
      <c r="D139" s="208"/>
      <c r="E139" s="208" t="s">
        <v>546</v>
      </c>
      <c r="F139" s="209"/>
      <c r="G139" s="210"/>
      <c r="H139" s="211"/>
      <c r="I139" s="212"/>
      <c r="J139" s="211"/>
      <c r="K139" s="212"/>
      <c r="L139" s="435">
        <f t="shared" si="2"/>
        <v>0</v>
      </c>
      <c r="M139" s="211"/>
      <c r="N139" s="211"/>
      <c r="O139" s="211"/>
      <c r="P139" s="211"/>
      <c r="Q139" s="213"/>
    </row>
    <row r="140" spans="1:17" ht="15.75" customHeight="1">
      <c r="A140" s="208" t="s">
        <v>546</v>
      </c>
      <c r="B140" s="208"/>
      <c r="C140" s="208"/>
      <c r="D140" s="208"/>
      <c r="E140" s="208" t="s">
        <v>546</v>
      </c>
      <c r="F140" s="209"/>
      <c r="G140" s="210"/>
      <c r="H140" s="211"/>
      <c r="I140" s="212"/>
      <c r="J140" s="211"/>
      <c r="K140" s="212"/>
      <c r="L140" s="435">
        <f t="shared" si="2"/>
        <v>0</v>
      </c>
      <c r="M140" s="211"/>
      <c r="N140" s="211"/>
      <c r="O140" s="211"/>
      <c r="P140" s="211"/>
      <c r="Q140" s="213"/>
    </row>
    <row r="141" spans="1:17" ht="15.75" customHeight="1">
      <c r="A141" s="208" t="s">
        <v>546</v>
      </c>
      <c r="B141" s="208"/>
      <c r="C141" s="208"/>
      <c r="D141" s="208"/>
      <c r="E141" s="208" t="s">
        <v>546</v>
      </c>
      <c r="F141" s="209"/>
      <c r="G141" s="210"/>
      <c r="H141" s="211"/>
      <c r="I141" s="212"/>
      <c r="J141" s="211"/>
      <c r="K141" s="212"/>
      <c r="L141" s="435">
        <f t="shared" si="2"/>
        <v>0</v>
      </c>
      <c r="M141" s="211"/>
      <c r="N141" s="211"/>
      <c r="O141" s="211"/>
      <c r="P141" s="211"/>
      <c r="Q141" s="213"/>
    </row>
    <row r="142" spans="1:17" ht="15.75" customHeight="1">
      <c r="A142" s="208" t="s">
        <v>546</v>
      </c>
      <c r="B142" s="208"/>
      <c r="C142" s="208"/>
      <c r="D142" s="208"/>
      <c r="E142" s="208" t="s">
        <v>546</v>
      </c>
      <c r="F142" s="209"/>
      <c r="G142" s="210"/>
      <c r="H142" s="211"/>
      <c r="I142" s="212"/>
      <c r="J142" s="211"/>
      <c r="K142" s="212"/>
      <c r="L142" s="435">
        <f t="shared" si="2"/>
        <v>0</v>
      </c>
      <c r="M142" s="211"/>
      <c r="N142" s="211"/>
      <c r="O142" s="211"/>
      <c r="P142" s="211"/>
      <c r="Q142" s="213"/>
    </row>
    <row r="143" spans="1:17" ht="15.75" customHeight="1">
      <c r="A143" s="208" t="s">
        <v>546</v>
      </c>
      <c r="B143" s="208"/>
      <c r="C143" s="208"/>
      <c r="D143" s="208"/>
      <c r="E143" s="208" t="s">
        <v>546</v>
      </c>
      <c r="F143" s="209"/>
      <c r="G143" s="210"/>
      <c r="H143" s="211"/>
      <c r="I143" s="212"/>
      <c r="J143" s="211"/>
      <c r="K143" s="212"/>
      <c r="L143" s="435">
        <f t="shared" si="2"/>
        <v>0</v>
      </c>
      <c r="M143" s="211"/>
      <c r="N143" s="211"/>
      <c r="O143" s="211"/>
      <c r="P143" s="211"/>
      <c r="Q143" s="213"/>
    </row>
    <row r="144" spans="1:17" ht="15.75" customHeight="1">
      <c r="A144" s="208" t="s">
        <v>546</v>
      </c>
      <c r="B144" s="208"/>
      <c r="C144" s="208"/>
      <c r="D144" s="208"/>
      <c r="E144" s="208" t="s">
        <v>546</v>
      </c>
      <c r="F144" s="209"/>
      <c r="G144" s="210"/>
      <c r="H144" s="211"/>
      <c r="I144" s="212"/>
      <c r="J144" s="211"/>
      <c r="K144" s="212"/>
      <c r="L144" s="435">
        <f t="shared" si="2"/>
        <v>0</v>
      </c>
      <c r="M144" s="211"/>
      <c r="N144" s="211"/>
      <c r="O144" s="211"/>
      <c r="P144" s="211"/>
      <c r="Q144" s="213"/>
    </row>
    <row r="145" spans="1:17" ht="15.75" customHeight="1">
      <c r="A145" s="208" t="s">
        <v>546</v>
      </c>
      <c r="B145" s="208"/>
      <c r="C145" s="208"/>
      <c r="D145" s="208"/>
      <c r="E145" s="208" t="s">
        <v>546</v>
      </c>
      <c r="F145" s="209"/>
      <c r="G145" s="210"/>
      <c r="H145" s="211"/>
      <c r="I145" s="212"/>
      <c r="J145" s="211"/>
      <c r="K145" s="212"/>
      <c r="L145" s="435">
        <f aca="true" t="shared" si="3" ref="L145:L201">SUM(K145,I145)</f>
        <v>0</v>
      </c>
      <c r="M145" s="211"/>
      <c r="N145" s="211"/>
      <c r="O145" s="211"/>
      <c r="P145" s="211"/>
      <c r="Q145" s="213"/>
    </row>
    <row r="146" spans="1:17" ht="15.75" customHeight="1">
      <c r="A146" s="208" t="s">
        <v>546</v>
      </c>
      <c r="B146" s="208"/>
      <c r="C146" s="208"/>
      <c r="D146" s="208"/>
      <c r="E146" s="208" t="s">
        <v>546</v>
      </c>
      <c r="F146" s="209"/>
      <c r="G146" s="210"/>
      <c r="H146" s="211"/>
      <c r="I146" s="212"/>
      <c r="J146" s="211"/>
      <c r="K146" s="212"/>
      <c r="L146" s="435">
        <f t="shared" si="3"/>
        <v>0</v>
      </c>
      <c r="M146" s="211"/>
      <c r="N146" s="211"/>
      <c r="O146" s="211"/>
      <c r="P146" s="211"/>
      <c r="Q146" s="213"/>
    </row>
    <row r="147" spans="1:17" ht="15.75" customHeight="1">
      <c r="A147" s="208" t="s">
        <v>546</v>
      </c>
      <c r="B147" s="208"/>
      <c r="C147" s="208"/>
      <c r="D147" s="208"/>
      <c r="E147" s="208" t="s">
        <v>546</v>
      </c>
      <c r="F147" s="209"/>
      <c r="G147" s="210"/>
      <c r="H147" s="211"/>
      <c r="I147" s="212"/>
      <c r="J147" s="211"/>
      <c r="K147" s="212"/>
      <c r="L147" s="435">
        <f t="shared" si="3"/>
        <v>0</v>
      </c>
      <c r="M147" s="211"/>
      <c r="N147" s="211"/>
      <c r="O147" s="211"/>
      <c r="P147" s="211"/>
      <c r="Q147" s="213"/>
    </row>
    <row r="148" spans="1:17" ht="15.75" customHeight="1">
      <c r="A148" s="208" t="s">
        <v>546</v>
      </c>
      <c r="B148" s="208"/>
      <c r="C148" s="208"/>
      <c r="D148" s="208"/>
      <c r="E148" s="208" t="s">
        <v>546</v>
      </c>
      <c r="F148" s="209"/>
      <c r="G148" s="210"/>
      <c r="H148" s="211"/>
      <c r="I148" s="212"/>
      <c r="J148" s="211"/>
      <c r="K148" s="212"/>
      <c r="L148" s="435">
        <f t="shared" si="3"/>
        <v>0</v>
      </c>
      <c r="M148" s="211"/>
      <c r="N148" s="211"/>
      <c r="O148" s="211"/>
      <c r="P148" s="211"/>
      <c r="Q148" s="213"/>
    </row>
    <row r="149" spans="1:17" ht="15.75" customHeight="1">
      <c r="A149" s="208" t="s">
        <v>546</v>
      </c>
      <c r="B149" s="208"/>
      <c r="C149" s="208"/>
      <c r="D149" s="208"/>
      <c r="E149" s="208" t="s">
        <v>546</v>
      </c>
      <c r="F149" s="209"/>
      <c r="G149" s="210"/>
      <c r="H149" s="211"/>
      <c r="I149" s="212"/>
      <c r="J149" s="211"/>
      <c r="K149" s="212"/>
      <c r="L149" s="435">
        <f t="shared" si="3"/>
        <v>0</v>
      </c>
      <c r="M149" s="211"/>
      <c r="N149" s="211"/>
      <c r="O149" s="211"/>
      <c r="P149" s="211"/>
      <c r="Q149" s="213"/>
    </row>
    <row r="150" spans="1:17" ht="15.75" customHeight="1">
      <c r="A150" s="208" t="s">
        <v>546</v>
      </c>
      <c r="B150" s="208"/>
      <c r="C150" s="208"/>
      <c r="D150" s="208"/>
      <c r="E150" s="208" t="s">
        <v>546</v>
      </c>
      <c r="F150" s="209"/>
      <c r="G150" s="210"/>
      <c r="H150" s="211"/>
      <c r="I150" s="212"/>
      <c r="J150" s="211"/>
      <c r="K150" s="212"/>
      <c r="L150" s="435">
        <f t="shared" si="3"/>
        <v>0</v>
      </c>
      <c r="M150" s="211"/>
      <c r="N150" s="211"/>
      <c r="O150" s="211"/>
      <c r="P150" s="211"/>
      <c r="Q150" s="213"/>
    </row>
    <row r="151" spans="1:17" ht="15.75" customHeight="1">
      <c r="A151" s="208" t="s">
        <v>546</v>
      </c>
      <c r="B151" s="208"/>
      <c r="C151" s="208"/>
      <c r="D151" s="208"/>
      <c r="E151" s="208" t="s">
        <v>546</v>
      </c>
      <c r="F151" s="209"/>
      <c r="G151" s="210"/>
      <c r="H151" s="211"/>
      <c r="I151" s="212"/>
      <c r="J151" s="211"/>
      <c r="K151" s="212"/>
      <c r="L151" s="435">
        <f t="shared" si="3"/>
        <v>0</v>
      </c>
      <c r="M151" s="211"/>
      <c r="N151" s="211"/>
      <c r="O151" s="211"/>
      <c r="P151" s="211"/>
      <c r="Q151" s="213"/>
    </row>
    <row r="152" spans="1:17" ht="15.75" customHeight="1">
      <c r="A152" s="208" t="s">
        <v>546</v>
      </c>
      <c r="B152" s="208"/>
      <c r="C152" s="208"/>
      <c r="D152" s="208"/>
      <c r="E152" s="208" t="s">
        <v>546</v>
      </c>
      <c r="F152" s="209"/>
      <c r="G152" s="210"/>
      <c r="H152" s="211"/>
      <c r="I152" s="212"/>
      <c r="J152" s="211"/>
      <c r="K152" s="212"/>
      <c r="L152" s="435">
        <f t="shared" si="3"/>
        <v>0</v>
      </c>
      <c r="M152" s="211"/>
      <c r="N152" s="211"/>
      <c r="O152" s="211"/>
      <c r="P152" s="211"/>
      <c r="Q152" s="213"/>
    </row>
    <row r="153" spans="1:17" ht="15.75" customHeight="1">
      <c r="A153" s="208" t="s">
        <v>546</v>
      </c>
      <c r="B153" s="208"/>
      <c r="C153" s="208"/>
      <c r="D153" s="208"/>
      <c r="E153" s="208" t="s">
        <v>546</v>
      </c>
      <c r="F153" s="209"/>
      <c r="G153" s="210"/>
      <c r="H153" s="211"/>
      <c r="I153" s="212"/>
      <c r="J153" s="211"/>
      <c r="K153" s="212"/>
      <c r="L153" s="435">
        <f t="shared" si="3"/>
        <v>0</v>
      </c>
      <c r="M153" s="211"/>
      <c r="N153" s="211"/>
      <c r="O153" s="211"/>
      <c r="P153" s="211"/>
      <c r="Q153" s="213"/>
    </row>
    <row r="154" spans="1:17" ht="15.75" customHeight="1">
      <c r="A154" s="208" t="s">
        <v>546</v>
      </c>
      <c r="B154" s="208"/>
      <c r="C154" s="208"/>
      <c r="D154" s="208"/>
      <c r="E154" s="208" t="s">
        <v>546</v>
      </c>
      <c r="F154" s="209"/>
      <c r="G154" s="210"/>
      <c r="H154" s="211"/>
      <c r="I154" s="212"/>
      <c r="J154" s="211"/>
      <c r="K154" s="212"/>
      <c r="L154" s="435">
        <f t="shared" si="3"/>
        <v>0</v>
      </c>
      <c r="M154" s="211"/>
      <c r="N154" s="211"/>
      <c r="O154" s="211"/>
      <c r="P154" s="211"/>
      <c r="Q154" s="213"/>
    </row>
    <row r="155" spans="1:17" ht="15.75" customHeight="1">
      <c r="A155" s="208" t="s">
        <v>546</v>
      </c>
      <c r="B155" s="208"/>
      <c r="C155" s="208"/>
      <c r="D155" s="208"/>
      <c r="E155" s="208" t="s">
        <v>546</v>
      </c>
      <c r="F155" s="209"/>
      <c r="G155" s="210"/>
      <c r="H155" s="211"/>
      <c r="I155" s="212"/>
      <c r="J155" s="211"/>
      <c r="K155" s="212"/>
      <c r="L155" s="435">
        <f t="shared" si="3"/>
        <v>0</v>
      </c>
      <c r="M155" s="211"/>
      <c r="N155" s="211"/>
      <c r="O155" s="211"/>
      <c r="P155" s="211"/>
      <c r="Q155" s="213"/>
    </row>
    <row r="156" spans="1:17" ht="15.75" customHeight="1">
      <c r="A156" s="208" t="s">
        <v>546</v>
      </c>
      <c r="B156" s="208"/>
      <c r="C156" s="208"/>
      <c r="D156" s="208"/>
      <c r="E156" s="208" t="s">
        <v>546</v>
      </c>
      <c r="F156" s="209"/>
      <c r="G156" s="210"/>
      <c r="H156" s="211"/>
      <c r="I156" s="212"/>
      <c r="J156" s="211"/>
      <c r="K156" s="212"/>
      <c r="L156" s="435">
        <f t="shared" si="3"/>
        <v>0</v>
      </c>
      <c r="M156" s="211"/>
      <c r="N156" s="211"/>
      <c r="O156" s="211"/>
      <c r="P156" s="211"/>
      <c r="Q156" s="213"/>
    </row>
    <row r="157" spans="1:17" ht="15.75" customHeight="1">
      <c r="A157" s="208" t="s">
        <v>546</v>
      </c>
      <c r="B157" s="208"/>
      <c r="C157" s="208"/>
      <c r="D157" s="208"/>
      <c r="E157" s="208" t="s">
        <v>546</v>
      </c>
      <c r="F157" s="209"/>
      <c r="G157" s="210"/>
      <c r="H157" s="211"/>
      <c r="I157" s="212"/>
      <c r="J157" s="211"/>
      <c r="K157" s="212"/>
      <c r="L157" s="435">
        <f t="shared" si="3"/>
        <v>0</v>
      </c>
      <c r="M157" s="211"/>
      <c r="N157" s="211"/>
      <c r="O157" s="211"/>
      <c r="P157" s="211"/>
      <c r="Q157" s="213"/>
    </row>
    <row r="158" spans="1:17" ht="15.75" customHeight="1">
      <c r="A158" s="208" t="s">
        <v>546</v>
      </c>
      <c r="B158" s="208"/>
      <c r="C158" s="208"/>
      <c r="D158" s="208"/>
      <c r="E158" s="208" t="s">
        <v>546</v>
      </c>
      <c r="F158" s="209"/>
      <c r="G158" s="210"/>
      <c r="H158" s="211"/>
      <c r="I158" s="212"/>
      <c r="J158" s="211"/>
      <c r="K158" s="212"/>
      <c r="L158" s="435">
        <f t="shared" si="3"/>
        <v>0</v>
      </c>
      <c r="M158" s="211"/>
      <c r="N158" s="211"/>
      <c r="O158" s="211"/>
      <c r="P158" s="211"/>
      <c r="Q158" s="213"/>
    </row>
    <row r="159" spans="1:17" ht="15.75" customHeight="1">
      <c r="A159" s="208" t="s">
        <v>546</v>
      </c>
      <c r="B159" s="208"/>
      <c r="C159" s="208"/>
      <c r="D159" s="208"/>
      <c r="E159" s="208" t="s">
        <v>546</v>
      </c>
      <c r="F159" s="209"/>
      <c r="G159" s="210"/>
      <c r="H159" s="211"/>
      <c r="I159" s="212"/>
      <c r="J159" s="211"/>
      <c r="K159" s="212"/>
      <c r="L159" s="435">
        <f t="shared" si="3"/>
        <v>0</v>
      </c>
      <c r="M159" s="211"/>
      <c r="N159" s="211"/>
      <c r="O159" s="211"/>
      <c r="P159" s="211"/>
      <c r="Q159" s="213"/>
    </row>
    <row r="160" spans="1:17" ht="15.75" customHeight="1">
      <c r="A160" s="208" t="s">
        <v>546</v>
      </c>
      <c r="B160" s="208"/>
      <c r="C160" s="208"/>
      <c r="D160" s="208"/>
      <c r="E160" s="208" t="s">
        <v>546</v>
      </c>
      <c r="F160" s="209"/>
      <c r="G160" s="210"/>
      <c r="H160" s="211"/>
      <c r="I160" s="212"/>
      <c r="J160" s="211"/>
      <c r="K160" s="212"/>
      <c r="L160" s="435">
        <f t="shared" si="3"/>
        <v>0</v>
      </c>
      <c r="M160" s="211"/>
      <c r="N160" s="211"/>
      <c r="O160" s="211"/>
      <c r="P160" s="211"/>
      <c r="Q160" s="213"/>
    </row>
    <row r="161" spans="1:17" ht="15.75" customHeight="1">
      <c r="A161" s="208" t="s">
        <v>546</v>
      </c>
      <c r="B161" s="208"/>
      <c r="C161" s="208"/>
      <c r="D161" s="208"/>
      <c r="E161" s="208" t="s">
        <v>546</v>
      </c>
      <c r="F161" s="209"/>
      <c r="G161" s="210"/>
      <c r="H161" s="211"/>
      <c r="I161" s="212"/>
      <c r="J161" s="211"/>
      <c r="K161" s="212"/>
      <c r="L161" s="435">
        <f t="shared" si="3"/>
        <v>0</v>
      </c>
      <c r="M161" s="211"/>
      <c r="N161" s="211"/>
      <c r="O161" s="211"/>
      <c r="P161" s="211"/>
      <c r="Q161" s="213"/>
    </row>
    <row r="162" spans="1:17" ht="15.75" customHeight="1">
      <c r="A162" s="208" t="s">
        <v>546</v>
      </c>
      <c r="B162" s="208"/>
      <c r="C162" s="208"/>
      <c r="D162" s="208"/>
      <c r="E162" s="208" t="s">
        <v>546</v>
      </c>
      <c r="F162" s="209"/>
      <c r="G162" s="210"/>
      <c r="H162" s="211"/>
      <c r="I162" s="212"/>
      <c r="J162" s="211"/>
      <c r="K162" s="212"/>
      <c r="L162" s="435">
        <f t="shared" si="3"/>
        <v>0</v>
      </c>
      <c r="M162" s="211"/>
      <c r="N162" s="211"/>
      <c r="O162" s="211"/>
      <c r="P162" s="211"/>
      <c r="Q162" s="213"/>
    </row>
    <row r="163" spans="1:17" ht="15.75" customHeight="1">
      <c r="A163" s="208" t="s">
        <v>546</v>
      </c>
      <c r="B163" s="208"/>
      <c r="C163" s="208"/>
      <c r="D163" s="208"/>
      <c r="E163" s="208" t="s">
        <v>546</v>
      </c>
      <c r="F163" s="209"/>
      <c r="G163" s="210"/>
      <c r="H163" s="211"/>
      <c r="I163" s="212"/>
      <c r="J163" s="211"/>
      <c r="K163" s="212"/>
      <c r="L163" s="435">
        <f t="shared" si="3"/>
        <v>0</v>
      </c>
      <c r="M163" s="211"/>
      <c r="N163" s="211"/>
      <c r="O163" s="211"/>
      <c r="P163" s="211"/>
      <c r="Q163" s="213"/>
    </row>
    <row r="164" spans="1:17" ht="15.75" customHeight="1">
      <c r="A164" s="208" t="s">
        <v>546</v>
      </c>
      <c r="B164" s="208"/>
      <c r="C164" s="208"/>
      <c r="D164" s="208"/>
      <c r="E164" s="208" t="s">
        <v>546</v>
      </c>
      <c r="F164" s="209"/>
      <c r="G164" s="210"/>
      <c r="H164" s="211"/>
      <c r="I164" s="212"/>
      <c r="J164" s="211"/>
      <c r="K164" s="212"/>
      <c r="L164" s="435">
        <f t="shared" si="3"/>
        <v>0</v>
      </c>
      <c r="M164" s="211"/>
      <c r="N164" s="211"/>
      <c r="O164" s="211"/>
      <c r="P164" s="211"/>
      <c r="Q164" s="213"/>
    </row>
    <row r="165" spans="1:17" ht="15.75" customHeight="1">
      <c r="A165" s="208" t="s">
        <v>546</v>
      </c>
      <c r="B165" s="208"/>
      <c r="C165" s="208"/>
      <c r="D165" s="208"/>
      <c r="E165" s="208" t="s">
        <v>546</v>
      </c>
      <c r="F165" s="209"/>
      <c r="G165" s="210"/>
      <c r="H165" s="211"/>
      <c r="I165" s="212"/>
      <c r="J165" s="211"/>
      <c r="K165" s="212"/>
      <c r="L165" s="435">
        <f t="shared" si="3"/>
        <v>0</v>
      </c>
      <c r="M165" s="211"/>
      <c r="N165" s="211"/>
      <c r="O165" s="211"/>
      <c r="P165" s="211"/>
      <c r="Q165" s="213"/>
    </row>
    <row r="166" spans="1:17" ht="15.75" customHeight="1">
      <c r="A166" s="208" t="s">
        <v>546</v>
      </c>
      <c r="B166" s="208"/>
      <c r="C166" s="208"/>
      <c r="D166" s="208"/>
      <c r="E166" s="208" t="s">
        <v>546</v>
      </c>
      <c r="F166" s="209"/>
      <c r="G166" s="210"/>
      <c r="H166" s="211"/>
      <c r="I166" s="212"/>
      <c r="J166" s="211"/>
      <c r="K166" s="212"/>
      <c r="L166" s="435">
        <f t="shared" si="3"/>
        <v>0</v>
      </c>
      <c r="M166" s="211"/>
      <c r="N166" s="211"/>
      <c r="O166" s="211"/>
      <c r="P166" s="211"/>
      <c r="Q166" s="213"/>
    </row>
    <row r="167" spans="1:17" ht="15.75" customHeight="1">
      <c r="A167" s="208" t="s">
        <v>546</v>
      </c>
      <c r="B167" s="208"/>
      <c r="C167" s="208"/>
      <c r="D167" s="208"/>
      <c r="E167" s="208" t="s">
        <v>546</v>
      </c>
      <c r="F167" s="209"/>
      <c r="G167" s="210"/>
      <c r="H167" s="211"/>
      <c r="I167" s="212"/>
      <c r="J167" s="211"/>
      <c r="K167" s="212"/>
      <c r="L167" s="435">
        <f t="shared" si="3"/>
        <v>0</v>
      </c>
      <c r="M167" s="211"/>
      <c r="N167" s="211"/>
      <c r="O167" s="211"/>
      <c r="P167" s="211"/>
      <c r="Q167" s="213"/>
    </row>
    <row r="168" spans="1:17" ht="15.75" customHeight="1">
      <c r="A168" s="208" t="s">
        <v>546</v>
      </c>
      <c r="B168" s="208"/>
      <c r="C168" s="208"/>
      <c r="D168" s="208"/>
      <c r="E168" s="208" t="s">
        <v>546</v>
      </c>
      <c r="F168" s="209"/>
      <c r="G168" s="210"/>
      <c r="H168" s="211"/>
      <c r="I168" s="212"/>
      <c r="J168" s="211"/>
      <c r="K168" s="212"/>
      <c r="L168" s="435">
        <f t="shared" si="3"/>
        <v>0</v>
      </c>
      <c r="M168" s="211"/>
      <c r="N168" s="211"/>
      <c r="O168" s="211"/>
      <c r="P168" s="211"/>
      <c r="Q168" s="213"/>
    </row>
    <row r="169" spans="1:17" ht="15.75" customHeight="1">
      <c r="A169" s="208" t="s">
        <v>546</v>
      </c>
      <c r="B169" s="208"/>
      <c r="C169" s="208"/>
      <c r="D169" s="208"/>
      <c r="E169" s="208" t="s">
        <v>546</v>
      </c>
      <c r="F169" s="209"/>
      <c r="G169" s="210"/>
      <c r="H169" s="211"/>
      <c r="I169" s="212"/>
      <c r="J169" s="211"/>
      <c r="K169" s="212"/>
      <c r="L169" s="435">
        <f t="shared" si="3"/>
        <v>0</v>
      </c>
      <c r="M169" s="211"/>
      <c r="N169" s="211"/>
      <c r="O169" s="211"/>
      <c r="P169" s="211"/>
      <c r="Q169" s="213"/>
    </row>
    <row r="170" spans="1:17" ht="15.75" customHeight="1">
      <c r="A170" s="208" t="s">
        <v>546</v>
      </c>
      <c r="B170" s="208"/>
      <c r="C170" s="208"/>
      <c r="D170" s="208"/>
      <c r="E170" s="208" t="s">
        <v>546</v>
      </c>
      <c r="F170" s="209"/>
      <c r="G170" s="210"/>
      <c r="H170" s="211"/>
      <c r="I170" s="212"/>
      <c r="J170" s="211"/>
      <c r="K170" s="212"/>
      <c r="L170" s="435">
        <f t="shared" si="3"/>
        <v>0</v>
      </c>
      <c r="M170" s="211"/>
      <c r="N170" s="211"/>
      <c r="O170" s="211"/>
      <c r="P170" s="211"/>
      <c r="Q170" s="213"/>
    </row>
    <row r="171" spans="1:17" ht="15.75" customHeight="1">
      <c r="A171" s="208" t="s">
        <v>546</v>
      </c>
      <c r="B171" s="208"/>
      <c r="C171" s="208"/>
      <c r="D171" s="208"/>
      <c r="E171" s="208" t="s">
        <v>546</v>
      </c>
      <c r="F171" s="209"/>
      <c r="G171" s="210"/>
      <c r="H171" s="211"/>
      <c r="I171" s="212"/>
      <c r="J171" s="211"/>
      <c r="K171" s="212"/>
      <c r="L171" s="435">
        <f t="shared" si="3"/>
        <v>0</v>
      </c>
      <c r="M171" s="211"/>
      <c r="N171" s="211"/>
      <c r="O171" s="211"/>
      <c r="P171" s="211"/>
      <c r="Q171" s="213"/>
    </row>
    <row r="172" spans="1:17" ht="15.75" customHeight="1">
      <c r="A172" s="208" t="s">
        <v>546</v>
      </c>
      <c r="B172" s="208"/>
      <c r="C172" s="208"/>
      <c r="D172" s="208"/>
      <c r="E172" s="208" t="s">
        <v>546</v>
      </c>
      <c r="F172" s="209"/>
      <c r="G172" s="210"/>
      <c r="H172" s="211"/>
      <c r="I172" s="212"/>
      <c r="J172" s="211"/>
      <c r="K172" s="212"/>
      <c r="L172" s="435">
        <f t="shared" si="3"/>
        <v>0</v>
      </c>
      <c r="M172" s="211"/>
      <c r="N172" s="211"/>
      <c r="O172" s="211"/>
      <c r="P172" s="211"/>
      <c r="Q172" s="213"/>
    </row>
    <row r="173" spans="1:17" ht="15.75" customHeight="1">
      <c r="A173" s="208" t="s">
        <v>546</v>
      </c>
      <c r="B173" s="208"/>
      <c r="C173" s="208"/>
      <c r="D173" s="208"/>
      <c r="E173" s="208" t="s">
        <v>546</v>
      </c>
      <c r="F173" s="209"/>
      <c r="G173" s="210"/>
      <c r="H173" s="211"/>
      <c r="I173" s="212"/>
      <c r="J173" s="211"/>
      <c r="K173" s="212"/>
      <c r="L173" s="435">
        <f t="shared" si="3"/>
        <v>0</v>
      </c>
      <c r="M173" s="211"/>
      <c r="N173" s="211"/>
      <c r="O173" s="211"/>
      <c r="P173" s="211"/>
      <c r="Q173" s="213"/>
    </row>
    <row r="174" spans="1:17" ht="15.75" customHeight="1">
      <c r="A174" s="208" t="s">
        <v>546</v>
      </c>
      <c r="B174" s="208"/>
      <c r="C174" s="208"/>
      <c r="D174" s="208"/>
      <c r="E174" s="208" t="s">
        <v>546</v>
      </c>
      <c r="F174" s="209"/>
      <c r="G174" s="210"/>
      <c r="H174" s="211"/>
      <c r="I174" s="212"/>
      <c r="J174" s="211"/>
      <c r="K174" s="212"/>
      <c r="L174" s="435">
        <f t="shared" si="3"/>
        <v>0</v>
      </c>
      <c r="M174" s="211"/>
      <c r="N174" s="211"/>
      <c r="O174" s="211"/>
      <c r="P174" s="211"/>
      <c r="Q174" s="213"/>
    </row>
    <row r="175" spans="1:17" ht="15.75" customHeight="1">
      <c r="A175" s="208" t="s">
        <v>546</v>
      </c>
      <c r="B175" s="208"/>
      <c r="C175" s="208"/>
      <c r="D175" s="208"/>
      <c r="E175" s="208" t="s">
        <v>546</v>
      </c>
      <c r="F175" s="209"/>
      <c r="G175" s="210"/>
      <c r="H175" s="211"/>
      <c r="I175" s="212"/>
      <c r="J175" s="211"/>
      <c r="K175" s="212"/>
      <c r="L175" s="435">
        <f t="shared" si="3"/>
        <v>0</v>
      </c>
      <c r="M175" s="211"/>
      <c r="N175" s="211"/>
      <c r="O175" s="211"/>
      <c r="P175" s="211"/>
      <c r="Q175" s="213"/>
    </row>
    <row r="176" spans="1:17" ht="15.75" customHeight="1">
      <c r="A176" s="208" t="s">
        <v>546</v>
      </c>
      <c r="B176" s="208"/>
      <c r="C176" s="208"/>
      <c r="D176" s="208"/>
      <c r="E176" s="208" t="s">
        <v>546</v>
      </c>
      <c r="F176" s="209"/>
      <c r="G176" s="210"/>
      <c r="H176" s="211"/>
      <c r="I176" s="212"/>
      <c r="J176" s="211"/>
      <c r="K176" s="212"/>
      <c r="L176" s="435">
        <f t="shared" si="3"/>
        <v>0</v>
      </c>
      <c r="M176" s="211"/>
      <c r="N176" s="211"/>
      <c r="O176" s="211"/>
      <c r="P176" s="211"/>
      <c r="Q176" s="213"/>
    </row>
    <row r="177" spans="1:17" ht="15.75" customHeight="1">
      <c r="A177" s="208" t="s">
        <v>546</v>
      </c>
      <c r="B177" s="208"/>
      <c r="C177" s="208"/>
      <c r="D177" s="208"/>
      <c r="E177" s="208" t="s">
        <v>546</v>
      </c>
      <c r="F177" s="209"/>
      <c r="G177" s="210"/>
      <c r="H177" s="211"/>
      <c r="I177" s="212"/>
      <c r="J177" s="211"/>
      <c r="K177" s="212"/>
      <c r="L177" s="435">
        <f t="shared" si="3"/>
        <v>0</v>
      </c>
      <c r="M177" s="211"/>
      <c r="N177" s="211"/>
      <c r="O177" s="211"/>
      <c r="P177" s="211"/>
      <c r="Q177" s="213"/>
    </row>
    <row r="178" spans="1:17" ht="15.75" customHeight="1">
      <c r="A178" s="208" t="s">
        <v>546</v>
      </c>
      <c r="B178" s="208"/>
      <c r="C178" s="208"/>
      <c r="D178" s="208"/>
      <c r="E178" s="208" t="s">
        <v>546</v>
      </c>
      <c r="F178" s="209"/>
      <c r="G178" s="210"/>
      <c r="H178" s="211"/>
      <c r="I178" s="212"/>
      <c r="J178" s="211"/>
      <c r="K178" s="212"/>
      <c r="L178" s="435">
        <f t="shared" si="3"/>
        <v>0</v>
      </c>
      <c r="M178" s="211"/>
      <c r="N178" s="211"/>
      <c r="O178" s="211"/>
      <c r="P178" s="211"/>
      <c r="Q178" s="213"/>
    </row>
    <row r="179" spans="1:17" ht="15.75" customHeight="1">
      <c r="A179" s="208" t="s">
        <v>546</v>
      </c>
      <c r="B179" s="208"/>
      <c r="C179" s="208"/>
      <c r="D179" s="208"/>
      <c r="E179" s="208" t="s">
        <v>546</v>
      </c>
      <c r="F179" s="209"/>
      <c r="G179" s="210"/>
      <c r="H179" s="211"/>
      <c r="I179" s="212"/>
      <c r="J179" s="211"/>
      <c r="K179" s="212"/>
      <c r="L179" s="435">
        <f t="shared" si="3"/>
        <v>0</v>
      </c>
      <c r="M179" s="211"/>
      <c r="N179" s="211"/>
      <c r="O179" s="211"/>
      <c r="P179" s="211"/>
      <c r="Q179" s="213"/>
    </row>
    <row r="180" spans="1:17" ht="15.75" customHeight="1">
      <c r="A180" s="208" t="s">
        <v>546</v>
      </c>
      <c r="B180" s="208"/>
      <c r="C180" s="208"/>
      <c r="D180" s="208"/>
      <c r="E180" s="208" t="s">
        <v>546</v>
      </c>
      <c r="F180" s="209"/>
      <c r="G180" s="210"/>
      <c r="H180" s="211"/>
      <c r="I180" s="212"/>
      <c r="J180" s="211"/>
      <c r="K180" s="212"/>
      <c r="L180" s="435">
        <f t="shared" si="3"/>
        <v>0</v>
      </c>
      <c r="M180" s="211"/>
      <c r="N180" s="211"/>
      <c r="O180" s="211"/>
      <c r="P180" s="211"/>
      <c r="Q180" s="213"/>
    </row>
    <row r="181" spans="1:17" ht="15.75" customHeight="1">
      <c r="A181" s="208" t="s">
        <v>546</v>
      </c>
      <c r="B181" s="208"/>
      <c r="C181" s="208"/>
      <c r="D181" s="208"/>
      <c r="E181" s="208" t="s">
        <v>546</v>
      </c>
      <c r="F181" s="209"/>
      <c r="G181" s="210"/>
      <c r="H181" s="211"/>
      <c r="I181" s="212"/>
      <c r="J181" s="211"/>
      <c r="K181" s="212"/>
      <c r="L181" s="435">
        <f t="shared" si="3"/>
        <v>0</v>
      </c>
      <c r="M181" s="211"/>
      <c r="N181" s="211"/>
      <c r="O181" s="211"/>
      <c r="P181" s="211"/>
      <c r="Q181" s="213"/>
    </row>
    <row r="182" spans="1:17" ht="15.75" customHeight="1">
      <c r="A182" s="208" t="s">
        <v>546</v>
      </c>
      <c r="B182" s="208"/>
      <c r="C182" s="208"/>
      <c r="D182" s="208"/>
      <c r="E182" s="208" t="s">
        <v>546</v>
      </c>
      <c r="F182" s="209"/>
      <c r="G182" s="210"/>
      <c r="H182" s="211"/>
      <c r="I182" s="212"/>
      <c r="J182" s="211"/>
      <c r="K182" s="212"/>
      <c r="L182" s="435">
        <f t="shared" si="3"/>
        <v>0</v>
      </c>
      <c r="M182" s="211"/>
      <c r="N182" s="211"/>
      <c r="O182" s="211"/>
      <c r="P182" s="211"/>
      <c r="Q182" s="213"/>
    </row>
    <row r="183" spans="1:17" ht="15.75" customHeight="1">
      <c r="A183" s="208" t="s">
        <v>546</v>
      </c>
      <c r="B183" s="208"/>
      <c r="C183" s="208"/>
      <c r="D183" s="208"/>
      <c r="E183" s="208" t="s">
        <v>546</v>
      </c>
      <c r="F183" s="209"/>
      <c r="G183" s="210"/>
      <c r="H183" s="211"/>
      <c r="I183" s="212"/>
      <c r="J183" s="211"/>
      <c r="K183" s="212"/>
      <c r="L183" s="435">
        <f t="shared" si="3"/>
        <v>0</v>
      </c>
      <c r="M183" s="211"/>
      <c r="N183" s="211"/>
      <c r="O183" s="211"/>
      <c r="P183" s="211"/>
      <c r="Q183" s="213"/>
    </row>
    <row r="184" spans="1:17" ht="15.75" customHeight="1">
      <c r="A184" s="208" t="s">
        <v>546</v>
      </c>
      <c r="B184" s="208"/>
      <c r="C184" s="208"/>
      <c r="D184" s="208"/>
      <c r="E184" s="208" t="s">
        <v>546</v>
      </c>
      <c r="F184" s="209"/>
      <c r="G184" s="210"/>
      <c r="H184" s="211"/>
      <c r="I184" s="212"/>
      <c r="J184" s="211"/>
      <c r="K184" s="212"/>
      <c r="L184" s="435">
        <f t="shared" si="3"/>
        <v>0</v>
      </c>
      <c r="M184" s="211"/>
      <c r="N184" s="211"/>
      <c r="O184" s="211"/>
      <c r="P184" s="211"/>
      <c r="Q184" s="213"/>
    </row>
    <row r="185" spans="1:17" ht="15.75" customHeight="1">
      <c r="A185" s="208" t="s">
        <v>546</v>
      </c>
      <c r="B185" s="208"/>
      <c r="C185" s="208"/>
      <c r="D185" s="208"/>
      <c r="E185" s="208" t="s">
        <v>546</v>
      </c>
      <c r="F185" s="209"/>
      <c r="G185" s="210"/>
      <c r="H185" s="211"/>
      <c r="I185" s="212"/>
      <c r="J185" s="211"/>
      <c r="K185" s="212"/>
      <c r="L185" s="435">
        <f t="shared" si="3"/>
        <v>0</v>
      </c>
      <c r="M185" s="211"/>
      <c r="N185" s="211"/>
      <c r="O185" s="211"/>
      <c r="P185" s="211"/>
      <c r="Q185" s="213"/>
    </row>
    <row r="186" spans="1:17" ht="15.75" customHeight="1">
      <c r="A186" s="208" t="s">
        <v>546</v>
      </c>
      <c r="B186" s="208"/>
      <c r="C186" s="208"/>
      <c r="D186" s="208"/>
      <c r="E186" s="208" t="s">
        <v>546</v>
      </c>
      <c r="F186" s="209"/>
      <c r="G186" s="210"/>
      <c r="H186" s="211"/>
      <c r="I186" s="212"/>
      <c r="J186" s="211"/>
      <c r="K186" s="212"/>
      <c r="L186" s="435">
        <f t="shared" si="3"/>
        <v>0</v>
      </c>
      <c r="M186" s="211"/>
      <c r="N186" s="211"/>
      <c r="O186" s="211"/>
      <c r="P186" s="211"/>
      <c r="Q186" s="213"/>
    </row>
    <row r="187" spans="1:17" ht="15.75" customHeight="1">
      <c r="A187" s="208" t="s">
        <v>546</v>
      </c>
      <c r="B187" s="208"/>
      <c r="C187" s="208"/>
      <c r="D187" s="208"/>
      <c r="E187" s="208" t="s">
        <v>546</v>
      </c>
      <c r="F187" s="209"/>
      <c r="G187" s="210"/>
      <c r="H187" s="211"/>
      <c r="I187" s="212"/>
      <c r="J187" s="211"/>
      <c r="K187" s="212"/>
      <c r="L187" s="435">
        <f t="shared" si="3"/>
        <v>0</v>
      </c>
      <c r="M187" s="211"/>
      <c r="N187" s="211"/>
      <c r="O187" s="211"/>
      <c r="P187" s="211"/>
      <c r="Q187" s="213"/>
    </row>
    <row r="188" spans="1:17" ht="15.75" customHeight="1">
      <c r="A188" s="208" t="s">
        <v>546</v>
      </c>
      <c r="B188" s="208"/>
      <c r="C188" s="208"/>
      <c r="D188" s="208"/>
      <c r="E188" s="208" t="s">
        <v>546</v>
      </c>
      <c r="F188" s="209"/>
      <c r="G188" s="210"/>
      <c r="H188" s="211"/>
      <c r="I188" s="212"/>
      <c r="J188" s="211"/>
      <c r="K188" s="212"/>
      <c r="L188" s="435">
        <f t="shared" si="3"/>
        <v>0</v>
      </c>
      <c r="M188" s="211"/>
      <c r="N188" s="211"/>
      <c r="O188" s="211"/>
      <c r="P188" s="211"/>
      <c r="Q188" s="213"/>
    </row>
    <row r="189" spans="1:17" ht="15.75" customHeight="1">
      <c r="A189" s="208" t="s">
        <v>546</v>
      </c>
      <c r="B189" s="208"/>
      <c r="C189" s="208"/>
      <c r="D189" s="208"/>
      <c r="E189" s="208" t="s">
        <v>546</v>
      </c>
      <c r="F189" s="209"/>
      <c r="G189" s="210"/>
      <c r="H189" s="211"/>
      <c r="I189" s="212"/>
      <c r="J189" s="211"/>
      <c r="K189" s="212"/>
      <c r="L189" s="435">
        <f t="shared" si="3"/>
        <v>0</v>
      </c>
      <c r="M189" s="211"/>
      <c r="N189" s="211"/>
      <c r="O189" s="211"/>
      <c r="P189" s="211"/>
      <c r="Q189" s="213"/>
    </row>
    <row r="190" spans="1:17" ht="15.75" customHeight="1">
      <c r="A190" s="208" t="s">
        <v>546</v>
      </c>
      <c r="B190" s="208"/>
      <c r="C190" s="208"/>
      <c r="D190" s="208"/>
      <c r="E190" s="208" t="s">
        <v>546</v>
      </c>
      <c r="F190" s="209"/>
      <c r="G190" s="210"/>
      <c r="H190" s="211"/>
      <c r="I190" s="212"/>
      <c r="J190" s="211"/>
      <c r="K190" s="212"/>
      <c r="L190" s="435">
        <f t="shared" si="3"/>
        <v>0</v>
      </c>
      <c r="M190" s="211"/>
      <c r="N190" s="211"/>
      <c r="O190" s="211"/>
      <c r="P190" s="211"/>
      <c r="Q190" s="213"/>
    </row>
    <row r="191" spans="1:17" ht="15.75" customHeight="1">
      <c r="A191" s="208" t="s">
        <v>546</v>
      </c>
      <c r="B191" s="208"/>
      <c r="C191" s="208"/>
      <c r="D191" s="208"/>
      <c r="E191" s="208" t="s">
        <v>546</v>
      </c>
      <c r="F191" s="209"/>
      <c r="G191" s="210"/>
      <c r="H191" s="211"/>
      <c r="I191" s="212"/>
      <c r="J191" s="211"/>
      <c r="K191" s="212"/>
      <c r="L191" s="435">
        <f t="shared" si="3"/>
        <v>0</v>
      </c>
      <c r="M191" s="211"/>
      <c r="N191" s="211"/>
      <c r="O191" s="211"/>
      <c r="P191" s="211"/>
      <c r="Q191" s="213"/>
    </row>
    <row r="192" spans="1:17" ht="15.75" customHeight="1">
      <c r="A192" s="208" t="s">
        <v>546</v>
      </c>
      <c r="B192" s="208"/>
      <c r="C192" s="208"/>
      <c r="D192" s="208"/>
      <c r="E192" s="208" t="s">
        <v>546</v>
      </c>
      <c r="F192" s="209"/>
      <c r="G192" s="210"/>
      <c r="H192" s="211"/>
      <c r="I192" s="212"/>
      <c r="J192" s="211"/>
      <c r="K192" s="212"/>
      <c r="L192" s="435">
        <f t="shared" si="3"/>
        <v>0</v>
      </c>
      <c r="M192" s="211"/>
      <c r="N192" s="211"/>
      <c r="O192" s="211"/>
      <c r="P192" s="211"/>
      <c r="Q192" s="213"/>
    </row>
    <row r="193" spans="1:17" ht="15.75" customHeight="1">
      <c r="A193" s="208" t="s">
        <v>546</v>
      </c>
      <c r="B193" s="208"/>
      <c r="C193" s="208"/>
      <c r="D193" s="208"/>
      <c r="E193" s="208" t="s">
        <v>546</v>
      </c>
      <c r="F193" s="209"/>
      <c r="G193" s="210"/>
      <c r="H193" s="211"/>
      <c r="I193" s="212"/>
      <c r="J193" s="211"/>
      <c r="K193" s="212"/>
      <c r="L193" s="435">
        <f t="shared" si="3"/>
        <v>0</v>
      </c>
      <c r="M193" s="211"/>
      <c r="N193" s="211"/>
      <c r="O193" s="211"/>
      <c r="P193" s="211"/>
      <c r="Q193" s="213"/>
    </row>
    <row r="194" spans="1:17" ht="15.75" customHeight="1">
      <c r="A194" s="208" t="s">
        <v>546</v>
      </c>
      <c r="B194" s="208"/>
      <c r="C194" s="208"/>
      <c r="D194" s="208"/>
      <c r="E194" s="208" t="s">
        <v>546</v>
      </c>
      <c r="F194" s="209"/>
      <c r="G194" s="210"/>
      <c r="H194" s="211"/>
      <c r="I194" s="212"/>
      <c r="J194" s="211"/>
      <c r="K194" s="212"/>
      <c r="L194" s="435">
        <f t="shared" si="3"/>
        <v>0</v>
      </c>
      <c r="M194" s="211"/>
      <c r="N194" s="211"/>
      <c r="O194" s="211"/>
      <c r="P194" s="211"/>
      <c r="Q194" s="213"/>
    </row>
    <row r="195" spans="1:17" ht="15.75" customHeight="1">
      <c r="A195" s="208" t="s">
        <v>546</v>
      </c>
      <c r="B195" s="208"/>
      <c r="C195" s="208"/>
      <c r="D195" s="208"/>
      <c r="E195" s="208" t="s">
        <v>546</v>
      </c>
      <c r="F195" s="209"/>
      <c r="G195" s="210"/>
      <c r="H195" s="211"/>
      <c r="I195" s="212"/>
      <c r="J195" s="211"/>
      <c r="K195" s="212"/>
      <c r="L195" s="435">
        <f t="shared" si="3"/>
        <v>0</v>
      </c>
      <c r="M195" s="211"/>
      <c r="N195" s="211"/>
      <c r="O195" s="211"/>
      <c r="P195" s="211"/>
      <c r="Q195" s="213"/>
    </row>
    <row r="196" spans="1:17" ht="15.75" customHeight="1">
      <c r="A196" s="208" t="s">
        <v>546</v>
      </c>
      <c r="B196" s="208"/>
      <c r="C196" s="208"/>
      <c r="D196" s="208"/>
      <c r="E196" s="208" t="s">
        <v>546</v>
      </c>
      <c r="F196" s="209"/>
      <c r="G196" s="210"/>
      <c r="H196" s="211"/>
      <c r="I196" s="212"/>
      <c r="J196" s="211"/>
      <c r="K196" s="212"/>
      <c r="L196" s="435">
        <f t="shared" si="3"/>
        <v>0</v>
      </c>
      <c r="M196" s="211"/>
      <c r="N196" s="211"/>
      <c r="O196" s="211"/>
      <c r="P196" s="211"/>
      <c r="Q196" s="213"/>
    </row>
    <row r="197" spans="1:17" ht="15.75" customHeight="1">
      <c r="A197" s="208" t="s">
        <v>546</v>
      </c>
      <c r="B197" s="208"/>
      <c r="C197" s="208"/>
      <c r="D197" s="208"/>
      <c r="E197" s="208" t="s">
        <v>546</v>
      </c>
      <c r="F197" s="209"/>
      <c r="G197" s="210"/>
      <c r="H197" s="211"/>
      <c r="I197" s="212"/>
      <c r="J197" s="211"/>
      <c r="K197" s="212"/>
      <c r="L197" s="435">
        <f t="shared" si="3"/>
        <v>0</v>
      </c>
      <c r="M197" s="211"/>
      <c r="N197" s="211"/>
      <c r="O197" s="211"/>
      <c r="P197" s="211"/>
      <c r="Q197" s="213"/>
    </row>
    <row r="198" spans="1:17" ht="15.75" customHeight="1">
      <c r="A198" s="208" t="s">
        <v>546</v>
      </c>
      <c r="B198" s="208"/>
      <c r="C198" s="208"/>
      <c r="D198" s="208"/>
      <c r="E198" s="208" t="s">
        <v>546</v>
      </c>
      <c r="F198" s="209"/>
      <c r="G198" s="210"/>
      <c r="H198" s="211"/>
      <c r="I198" s="212"/>
      <c r="J198" s="211"/>
      <c r="K198" s="212"/>
      <c r="L198" s="435">
        <f t="shared" si="3"/>
        <v>0</v>
      </c>
      <c r="M198" s="211"/>
      <c r="N198" s="211"/>
      <c r="O198" s="211"/>
      <c r="P198" s="211"/>
      <c r="Q198" s="213"/>
    </row>
    <row r="199" spans="1:17" ht="15.75" customHeight="1">
      <c r="A199" s="208" t="s">
        <v>546</v>
      </c>
      <c r="B199" s="208"/>
      <c r="C199" s="208"/>
      <c r="D199" s="208"/>
      <c r="E199" s="208" t="s">
        <v>546</v>
      </c>
      <c r="F199" s="209"/>
      <c r="G199" s="210"/>
      <c r="H199" s="211"/>
      <c r="I199" s="212"/>
      <c r="J199" s="211"/>
      <c r="K199" s="212"/>
      <c r="L199" s="435">
        <f t="shared" si="3"/>
        <v>0</v>
      </c>
      <c r="M199" s="211"/>
      <c r="N199" s="211"/>
      <c r="O199" s="211"/>
      <c r="P199" s="211"/>
      <c r="Q199" s="213"/>
    </row>
    <row r="200" spans="1:17" ht="15.75" customHeight="1">
      <c r="A200" s="208" t="s">
        <v>546</v>
      </c>
      <c r="B200" s="208"/>
      <c r="C200" s="208"/>
      <c r="D200" s="208"/>
      <c r="E200" s="208" t="s">
        <v>546</v>
      </c>
      <c r="F200" s="209"/>
      <c r="G200" s="210"/>
      <c r="H200" s="211"/>
      <c r="I200" s="212"/>
      <c r="J200" s="211"/>
      <c r="K200" s="212"/>
      <c r="L200" s="435">
        <f t="shared" si="3"/>
        <v>0</v>
      </c>
      <c r="M200" s="211"/>
      <c r="N200" s="211"/>
      <c r="O200" s="211"/>
      <c r="P200" s="211"/>
      <c r="Q200" s="213"/>
    </row>
    <row r="201" spans="1:17" ht="15.75" customHeight="1">
      <c r="A201" s="208" t="s">
        <v>546</v>
      </c>
      <c r="B201" s="208"/>
      <c r="C201" s="208"/>
      <c r="D201" s="208"/>
      <c r="E201" s="208" t="s">
        <v>546</v>
      </c>
      <c r="F201" s="209"/>
      <c r="G201" s="210"/>
      <c r="H201" s="211"/>
      <c r="I201" s="212"/>
      <c r="J201" s="211"/>
      <c r="K201" s="212"/>
      <c r="L201" s="435">
        <f t="shared" si="3"/>
        <v>0</v>
      </c>
      <c r="M201" s="211"/>
      <c r="N201" s="211"/>
      <c r="O201" s="211"/>
      <c r="P201" s="211"/>
      <c r="Q201" s="213"/>
    </row>
    <row r="202" spans="6:11" ht="13.5" customHeight="1">
      <c r="F202" s="88"/>
      <c r="G202" s="90"/>
      <c r="H202" s="90"/>
      <c r="J202" s="52"/>
      <c r="K202" s="52"/>
    </row>
    <row r="203" spans="6:11" ht="13.5" customHeight="1">
      <c r="F203" s="88"/>
      <c r="G203" s="90"/>
      <c r="H203" s="90"/>
      <c r="J203" s="52"/>
      <c r="K203" s="52"/>
    </row>
    <row r="204" spans="6:11" ht="13.5" customHeight="1">
      <c r="F204" s="88"/>
      <c r="G204" s="90"/>
      <c r="H204" s="90"/>
      <c r="J204" s="52"/>
      <c r="K204" s="52"/>
    </row>
    <row r="205" spans="6:11" ht="13.5" customHeight="1">
      <c r="F205" s="88"/>
      <c r="G205" s="90"/>
      <c r="H205" s="90"/>
      <c r="J205" s="52"/>
      <c r="K205" s="52"/>
    </row>
    <row r="206" spans="7:11" ht="13.5" customHeight="1">
      <c r="G206" s="88"/>
      <c r="H206" s="90"/>
      <c r="K206" s="52"/>
    </row>
    <row r="207" spans="7:11" ht="13.5" customHeight="1">
      <c r="G207" s="88"/>
      <c r="H207" s="90"/>
      <c r="K207" s="52"/>
    </row>
  </sheetData>
  <sheetProtection insertRows="0"/>
  <mergeCells count="6">
    <mergeCell ref="A9:B11"/>
    <mergeCell ref="A8:B8"/>
    <mergeCell ref="A2:Q2"/>
    <mergeCell ref="A3:Q3"/>
    <mergeCell ref="F8:L8"/>
    <mergeCell ref="C8:E8"/>
  </mergeCells>
  <conditionalFormatting sqref="A16:A201">
    <cfRule type="expression" priority="1" dxfId="0" stopIfTrue="1">
      <formula>AND(OR(NOT($D16=""),NOT($C16="")),OR(($A16=""),($A16="Select from List")))</formula>
    </cfRule>
  </conditionalFormatting>
  <conditionalFormatting sqref="E16:E201">
    <cfRule type="expression" priority="2" dxfId="0" stopIfTrue="1">
      <formula>AND(OR(NOT($D16=""),NOT($C16="")),OR(($E16=""),($E16="Select from List")))</formula>
    </cfRule>
  </conditionalFormatting>
  <conditionalFormatting sqref="F16:F201">
    <cfRule type="expression" priority="3" dxfId="0" stopIfTrue="1">
      <formula>AND(OR(NOT($D16=""),NOT($C16="")),($F16=""))</formula>
    </cfRule>
  </conditionalFormatting>
  <conditionalFormatting sqref="G16:G201">
    <cfRule type="expression" priority="4" dxfId="0" stopIfTrue="1">
      <formula>AND(OR(NOT($D16=""),NOT($C16="")),($G16=""))</formula>
    </cfRule>
  </conditionalFormatting>
  <conditionalFormatting sqref="H16:H201">
    <cfRule type="expression" priority="5" dxfId="0" stopIfTrue="1">
      <formula>AND(($H16=""),OR($I16&gt;0,$I16&lt;0))</formula>
    </cfRule>
    <cfRule type="expression" priority="6" dxfId="0" stopIfTrue="1">
      <formula>AND(OR(NOT($D16=""),NOT($C16="")),$H16="",$J16="",$M16="",$O16="")</formula>
    </cfRule>
  </conditionalFormatting>
  <conditionalFormatting sqref="I16:I201">
    <cfRule type="expression" priority="7" dxfId="12" stopIfTrue="1">
      <formula>AND(($I16=""),OR($H16&gt;0,$H16&lt;0))</formula>
    </cfRule>
  </conditionalFormatting>
  <conditionalFormatting sqref="J16:J201">
    <cfRule type="expression" priority="8" dxfId="0" stopIfTrue="1">
      <formula>AND(($J16=""),OR($K16&gt;0,$K16&lt;0))</formula>
    </cfRule>
    <cfRule type="expression" priority="9" dxfId="0" stopIfTrue="1">
      <formula>AND(OR(NOT($D16=""),NOT($C16="")),$H16="",$J16="",$M16="",$O16="")</formula>
    </cfRule>
  </conditionalFormatting>
  <conditionalFormatting sqref="K16:K201">
    <cfRule type="expression" priority="10" dxfId="12" stopIfTrue="1">
      <formula>AND(($K16=""),OR($J16&gt;0,$J16&lt;0))</formula>
    </cfRule>
  </conditionalFormatting>
  <conditionalFormatting sqref="M16:M201 O16:O201">
    <cfRule type="expression" priority="11" dxfId="0" stopIfTrue="1">
      <formula>AND(OR(NOT($D16=""),NOT($C16="")),$H16="",$J16="",$M16="",$O16="")</formula>
    </cfRule>
  </conditionalFormatting>
  <conditionalFormatting sqref="C16:C201">
    <cfRule type="expression" priority="12" dxfId="0" stopIfTrue="1">
      <formula>AND(NOT($D16=""),($C16=""))</formula>
    </cfRule>
  </conditionalFormatting>
  <dataValidations count="3">
    <dataValidation type="list" allowBlank="1" showInputMessage="1" showErrorMessage="1" prompt="Select a funding source from the drop-down list or select &quot;Unfunded&quot; if a source has not been identified." sqref="E16:E201">
      <formula1>Funding</formula1>
    </dataValidation>
    <dataValidation type="list" allowBlank="1" showInputMessage="1" showErrorMessage="1" prompt="Select a status for each measure(s) from the drop-down list." sqref="A16:A201">
      <formula1>Status</formula1>
    </dataValidation>
    <dataValidation type="list" allowBlank="1" showInputMessage="1" prompt="Select a description that best describes the conservation measure(s) type from the drop-down list.  Do not include RECs in this table.&#10;" sqref="C16:C201">
      <formula1>Measures</formula1>
    </dataValidation>
  </dataValidations>
  <printOptions/>
  <pageMargins left="0.75" right="0.5" top="0.5" bottom="0.5" header="0.5" footer="0.35"/>
  <pageSetup fitToHeight="4" fitToWidth="1" horizontalDpi="300" verticalDpi="300" orientation="landscape" paperSize="5" scale="52" r:id="rId3"/>
  <headerFooter alignWithMargins="0">
    <oddFooter>&amp;L&amp;"Times New Roman,Regular"&amp;8&amp;F: &amp;A&amp;R&amp;"Times New Roman,Regular"&amp;8Page &amp;P of &amp;N</oddFooter>
  </headerFooter>
  <legacyDrawing r:id="rId2"/>
</worksheet>
</file>

<file path=xl/worksheets/sheet5.xml><?xml version="1.0" encoding="utf-8"?>
<worksheet xmlns="http://schemas.openxmlformats.org/spreadsheetml/2006/main" xmlns:r="http://schemas.openxmlformats.org/officeDocument/2006/relationships">
  <sheetPr>
    <tabColor indexed="13"/>
    <pageSetUpPr fitToPage="1"/>
  </sheetPr>
  <dimension ref="A1:J29"/>
  <sheetViews>
    <sheetView workbookViewId="0" topLeftCell="A1">
      <selection activeCell="A26" sqref="A26"/>
    </sheetView>
  </sheetViews>
  <sheetFormatPr defaultColWidth="9.140625" defaultRowHeight="12.75"/>
  <cols>
    <col min="1" max="1" width="32.28125" style="202" customWidth="1"/>
    <col min="2" max="4" width="19.28125" style="202" customWidth="1"/>
    <col min="5" max="16384" width="9.140625" style="202" customWidth="1"/>
  </cols>
  <sheetData>
    <row r="1" spans="1:10" s="193" customFormat="1" ht="19.5" customHeight="1">
      <c r="A1" s="605" t="str">
        <f>Lists!N7</f>
        <v>Office of Legacy Management</v>
      </c>
      <c r="B1" s="605"/>
      <c r="C1" s="605"/>
      <c r="D1" s="605"/>
      <c r="E1" s="405"/>
      <c r="F1" s="405"/>
      <c r="G1" s="405"/>
      <c r="H1" s="405"/>
      <c r="I1" s="405"/>
      <c r="J1" s="405"/>
    </row>
    <row r="2" spans="1:10" s="193" customFormat="1" ht="19.5" customHeight="1">
      <c r="A2" s="605" t="s">
        <v>572</v>
      </c>
      <c r="B2" s="605"/>
      <c r="C2" s="605"/>
      <c r="D2" s="605"/>
      <c r="E2" s="405"/>
      <c r="F2" s="405"/>
      <c r="G2" s="405"/>
      <c r="H2" s="405"/>
      <c r="I2" s="405"/>
      <c r="J2" s="405"/>
    </row>
    <row r="3" spans="1:4" ht="26.25" customHeight="1">
      <c r="A3" s="606" t="s">
        <v>573</v>
      </c>
      <c r="B3" s="606"/>
      <c r="C3" s="606"/>
      <c r="D3" s="606"/>
    </row>
    <row r="4" spans="1:4" ht="13.5" customHeight="1">
      <c r="A4" s="203"/>
      <c r="B4" s="204"/>
      <c r="C4" s="204"/>
      <c r="D4" s="204"/>
    </row>
    <row r="5" spans="1:4" ht="13.5" customHeight="1">
      <c r="A5" s="203"/>
      <c r="B5" s="204"/>
      <c r="C5" s="204"/>
      <c r="D5" s="204"/>
    </row>
    <row r="6" spans="1:8" ht="13.5" customHeight="1">
      <c r="A6" s="4" t="s">
        <v>57</v>
      </c>
      <c r="B6" s="204"/>
      <c r="C6" s="204"/>
      <c r="D6" s="204"/>
      <c r="G6" s="205"/>
      <c r="H6" s="205"/>
    </row>
    <row r="7" spans="1:8" ht="38.25">
      <c r="A7" s="515" t="str">
        <f>"Name of Project Saving Source Energy in FY "&amp;TEXT(Lists!N3,"0000")&amp;" (insert additional rows as necessary)"</f>
        <v>Name of Project Saving Source Energy in FY 2009 (insert additional rows as necessary)</v>
      </c>
      <c r="B7" s="55" t="s">
        <v>51</v>
      </c>
      <c r="C7" s="55" t="s">
        <v>52</v>
      </c>
      <c r="D7" s="55" t="s">
        <v>134</v>
      </c>
      <c r="G7" s="205"/>
      <c r="H7" s="205"/>
    </row>
    <row r="8" spans="1:4" ht="13.5" customHeight="1">
      <c r="A8" s="515"/>
      <c r="B8" s="55" t="s">
        <v>525</v>
      </c>
      <c r="C8" s="55" t="s">
        <v>525</v>
      </c>
      <c r="D8" s="55" t="s">
        <v>525</v>
      </c>
    </row>
    <row r="9" spans="1:4" ht="13.5" customHeight="1">
      <c r="A9" s="206" t="s">
        <v>647</v>
      </c>
      <c r="B9" s="258">
        <v>40</v>
      </c>
      <c r="C9" s="258">
        <v>480</v>
      </c>
      <c r="D9" s="258">
        <v>480</v>
      </c>
    </row>
    <row r="10" spans="1:4" ht="13.5" customHeight="1">
      <c r="A10" s="206" t="s">
        <v>54</v>
      </c>
      <c r="B10" s="258">
        <v>0</v>
      </c>
      <c r="C10" s="258">
        <v>0</v>
      </c>
      <c r="D10" s="258">
        <v>0</v>
      </c>
    </row>
    <row r="11" spans="1:4" ht="13.5" customHeight="1">
      <c r="A11" s="206" t="s">
        <v>55</v>
      </c>
      <c r="B11" s="258">
        <v>0</v>
      </c>
      <c r="C11" s="258">
        <v>0</v>
      </c>
      <c r="D11" s="258">
        <v>0</v>
      </c>
    </row>
    <row r="12" spans="1:4" ht="13.5" customHeight="1">
      <c r="A12" s="207" t="s">
        <v>50</v>
      </c>
      <c r="B12" s="167">
        <f>SUM(B9:B11)</f>
        <v>40</v>
      </c>
      <c r="C12" s="167">
        <f>SUM(C9:C11)</f>
        <v>480</v>
      </c>
      <c r="D12" s="167">
        <f>SUM(D9:D11)</f>
        <v>480</v>
      </c>
    </row>
    <row r="13" ht="13.5" customHeight="1"/>
    <row r="14" spans="1:4" ht="13.5" customHeight="1">
      <c r="A14" s="4" t="s">
        <v>359</v>
      </c>
      <c r="B14" s="204"/>
      <c r="C14" s="204"/>
      <c r="D14" s="204"/>
    </row>
    <row r="15" spans="1:4" ht="42.75" customHeight="1">
      <c r="A15" s="515" t="str">
        <f>"Name of Project Saving Source Energy in FY "&amp;TEXT(Lists!N3,"0000")&amp;" (insert additional rows as necessary)"</f>
        <v>Name of Project Saving Source Energy in FY 2009 (insert additional rows as necessary)</v>
      </c>
      <c r="B15" s="55" t="s">
        <v>51</v>
      </c>
      <c r="C15" s="55" t="s">
        <v>52</v>
      </c>
      <c r="D15" s="55" t="s">
        <v>134</v>
      </c>
    </row>
    <row r="16" spans="1:4" ht="13.5" customHeight="1">
      <c r="A16" s="515"/>
      <c r="B16" s="55" t="s">
        <v>525</v>
      </c>
      <c r="C16" s="55" t="s">
        <v>525</v>
      </c>
      <c r="D16" s="55" t="s">
        <v>525</v>
      </c>
    </row>
    <row r="17" spans="1:4" ht="13.5" customHeight="1">
      <c r="A17" s="206" t="s">
        <v>53</v>
      </c>
      <c r="B17" s="258">
        <v>0</v>
      </c>
      <c r="C17" s="258">
        <v>0</v>
      </c>
      <c r="D17" s="258">
        <v>0</v>
      </c>
    </row>
    <row r="18" spans="1:4" ht="13.5" customHeight="1">
      <c r="A18" s="206" t="s">
        <v>54</v>
      </c>
      <c r="B18" s="258">
        <v>0</v>
      </c>
      <c r="C18" s="258">
        <v>0</v>
      </c>
      <c r="D18" s="258">
        <v>0</v>
      </c>
    </row>
    <row r="19" spans="1:4" ht="13.5" customHeight="1">
      <c r="A19" s="206" t="s">
        <v>55</v>
      </c>
      <c r="B19" s="258">
        <v>0</v>
      </c>
      <c r="C19" s="258">
        <v>0</v>
      </c>
      <c r="D19" s="258">
        <v>0</v>
      </c>
    </row>
    <row r="20" spans="1:4" ht="13.5" customHeight="1">
      <c r="A20" s="207" t="s">
        <v>50</v>
      </c>
      <c r="B20" s="167">
        <f>SUM(B17:B19)</f>
        <v>0</v>
      </c>
      <c r="C20" s="167">
        <f>SUM(C17:C19)</f>
        <v>0</v>
      </c>
      <c r="D20" s="167">
        <f>SUM(D17:D19)</f>
        <v>0</v>
      </c>
    </row>
    <row r="27" spans="7:8" ht="12.75">
      <c r="G27" s="205"/>
      <c r="H27" s="205"/>
    </row>
    <row r="28" spans="7:8" ht="12.75">
      <c r="G28" s="205"/>
      <c r="H28" s="205"/>
    </row>
    <row r="29" spans="7:8" ht="12.75">
      <c r="G29" s="205"/>
      <c r="H29" s="205"/>
    </row>
  </sheetData>
  <sheetProtection insertRows="0"/>
  <mergeCells count="5">
    <mergeCell ref="A15:A16"/>
    <mergeCell ref="A1:D1"/>
    <mergeCell ref="A2:D2"/>
    <mergeCell ref="A3:D3"/>
    <mergeCell ref="A7:A8"/>
  </mergeCells>
  <printOptions horizontalCentered="1"/>
  <pageMargins left="0.75" right="0.5" top="0.5" bottom="0.5" header="0.5" footer="0.35"/>
  <pageSetup fitToHeight="1" fitToWidth="1" horizontalDpi="300" verticalDpi="300" orientation="portrait" r:id="rId3"/>
  <headerFooter alignWithMargins="0">
    <oddFooter>&amp;L&amp;"Times New Roman,Regular"&amp;8&amp;F: &amp;A&amp;R&amp;"Times New Roman,Regular"&amp;8Page &amp;P of &amp;N</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A127"/>
  <sheetViews>
    <sheetView zoomScalePageLayoutView="0" workbookViewId="0" topLeftCell="R1">
      <pane ySplit="5" topLeftCell="BM84" activePane="bottomLeft" state="frozen"/>
      <selection pane="topLeft" activeCell="E29" sqref="E29"/>
      <selection pane="bottomLeft" activeCell="Y106" sqref="Y106"/>
    </sheetView>
  </sheetViews>
  <sheetFormatPr defaultColWidth="9.140625" defaultRowHeight="12.75"/>
  <cols>
    <col min="1" max="12" width="3.7109375" style="193" hidden="1" customWidth="1"/>
    <col min="13" max="17" width="3.7109375" style="196" hidden="1" customWidth="1"/>
    <col min="18" max="19" width="30.7109375" style="193" customWidth="1"/>
    <col min="20" max="20" width="10.7109375" style="193" customWidth="1"/>
    <col min="21" max="21" width="12.57421875" style="193" customWidth="1"/>
    <col min="22" max="25" width="20.7109375" style="193" customWidth="1"/>
    <col min="26" max="26" width="12.7109375" style="193" customWidth="1"/>
    <col min="27" max="27" width="14.7109375" style="193" customWidth="1"/>
    <col min="28" max="16384" width="9.140625" style="193" customWidth="1"/>
  </cols>
  <sheetData>
    <row r="1" spans="13:27" ht="19.5" customHeight="1">
      <c r="M1" s="236"/>
      <c r="N1" s="236"/>
      <c r="O1" s="236"/>
      <c r="P1" s="236"/>
      <c r="Q1" s="236"/>
      <c r="R1" s="605" t="str">
        <f>Lists!N7</f>
        <v>Office of Legacy Management</v>
      </c>
      <c r="S1" s="605"/>
      <c r="T1" s="605"/>
      <c r="U1" s="605"/>
      <c r="V1" s="605"/>
      <c r="W1" s="605"/>
      <c r="X1" s="605"/>
      <c r="Y1" s="605"/>
      <c r="Z1" s="605"/>
      <c r="AA1" s="605"/>
    </row>
    <row r="2" spans="13:27" ht="19.5" customHeight="1">
      <c r="M2" s="236"/>
      <c r="N2" s="236"/>
      <c r="O2" s="236"/>
      <c r="P2" s="236"/>
      <c r="Q2" s="236"/>
      <c r="R2" s="605" t="s">
        <v>526</v>
      </c>
      <c r="S2" s="605"/>
      <c r="T2" s="605"/>
      <c r="U2" s="605"/>
      <c r="V2" s="605"/>
      <c r="W2" s="605"/>
      <c r="X2" s="605"/>
      <c r="Y2" s="605"/>
      <c r="Z2" s="605"/>
      <c r="AA2" s="605"/>
    </row>
    <row r="3" spans="1:27" s="194" customFormat="1" ht="39.75" customHeight="1">
      <c r="A3" s="238"/>
      <c r="B3" s="238"/>
      <c r="C3" s="238"/>
      <c r="M3" s="236"/>
      <c r="N3" s="236"/>
      <c r="O3" s="236"/>
      <c r="P3" s="236"/>
      <c r="Q3" s="236"/>
      <c r="R3" s="607" t="s">
        <v>527</v>
      </c>
      <c r="S3" s="607"/>
      <c r="T3" s="607"/>
      <c r="U3" s="607"/>
      <c r="V3" s="607"/>
      <c r="W3" s="607"/>
      <c r="X3" s="607"/>
      <c r="Y3" s="607"/>
      <c r="Z3" s="607"/>
      <c r="AA3" s="607"/>
    </row>
    <row r="4" spans="1:27" ht="13.5" customHeight="1">
      <c r="A4" s="238"/>
      <c r="B4" s="238"/>
      <c r="C4" s="238"/>
      <c r="G4" s="238"/>
      <c r="H4" s="238"/>
      <c r="M4" s="236"/>
      <c r="N4" s="236"/>
      <c r="O4" s="236"/>
      <c r="P4" s="236"/>
      <c r="Q4" s="236"/>
      <c r="R4" s="192"/>
      <c r="S4" s="192"/>
      <c r="T4" s="192"/>
      <c r="U4" s="192"/>
      <c r="V4" s="192"/>
      <c r="W4" s="192"/>
      <c r="X4" s="192"/>
      <c r="Y4" s="192"/>
      <c r="Z4" s="101"/>
      <c r="AA4" s="101"/>
    </row>
    <row r="5" spans="1:27" ht="39.75" customHeight="1">
      <c r="A5" s="238" t="s">
        <v>249</v>
      </c>
      <c r="B5" s="238" t="s">
        <v>429</v>
      </c>
      <c r="C5" s="238" t="s">
        <v>200</v>
      </c>
      <c r="D5" s="238" t="s">
        <v>233</v>
      </c>
      <c r="E5" s="238" t="s">
        <v>212</v>
      </c>
      <c r="F5" s="238" t="s">
        <v>427</v>
      </c>
      <c r="G5" s="238" t="s">
        <v>234</v>
      </c>
      <c r="H5" s="238" t="s">
        <v>430</v>
      </c>
      <c r="I5" s="238" t="s">
        <v>426</v>
      </c>
      <c r="J5" s="238" t="s">
        <v>428</v>
      </c>
      <c r="K5" s="238"/>
      <c r="L5" s="238"/>
      <c r="M5" s="237" t="s">
        <v>13</v>
      </c>
      <c r="N5" s="237" t="s">
        <v>395</v>
      </c>
      <c r="O5" s="237" t="s">
        <v>13</v>
      </c>
      <c r="P5" s="237" t="s">
        <v>395</v>
      </c>
      <c r="Q5" s="237" t="s">
        <v>13</v>
      </c>
      <c r="R5" s="195" t="s">
        <v>425</v>
      </c>
      <c r="S5" s="195" t="s">
        <v>449</v>
      </c>
      <c r="T5" s="195" t="s">
        <v>150</v>
      </c>
      <c r="U5" s="195" t="s">
        <v>221</v>
      </c>
      <c r="V5" s="195" t="s">
        <v>528</v>
      </c>
      <c r="W5" s="195" t="s">
        <v>530</v>
      </c>
      <c r="X5" s="195" t="s">
        <v>529</v>
      </c>
      <c r="Y5" s="195" t="s">
        <v>531</v>
      </c>
      <c r="Z5" s="195" t="s">
        <v>151</v>
      </c>
      <c r="AA5" s="195" t="s">
        <v>393</v>
      </c>
    </row>
    <row r="6" spans="1:27" ht="13.5" customHeight="1">
      <c r="A6" s="196">
        <f aca="true" t="shared" si="0" ref="A6:C69">IF(ISERROR(SEARCH(A$5,$R6)),0,IF(ISNUMBER(SEARCH(A$5,$R6)),$A$5,0))</f>
        <v>0</v>
      </c>
      <c r="B6" s="196" t="str">
        <f t="shared" si="0"/>
        <v>Solar</v>
      </c>
      <c r="C6" s="196">
        <f t="shared" si="0"/>
        <v>0</v>
      </c>
      <c r="D6" s="196">
        <f aca="true" t="shared" si="1" ref="D6:D69">IF(ISERROR(SEARCH(D$5,$R6)),0,IF(ISNUMBER(SEARCH(D$5,$R6)),$D$5,0))</f>
        <v>0</v>
      </c>
      <c r="E6" s="196">
        <f aca="true" t="shared" si="2" ref="E6:E69">IF(ISERROR(SEARCH(E$5,$R6)),0,IF(ISNUMBER(SEARCH(E$5,$R6)),$E$5,0))</f>
        <v>0</v>
      </c>
      <c r="F6" s="196">
        <f aca="true" t="shared" si="3" ref="F6:F69">IF(ISERROR(SEARCH(F$5,$R6)),0,IF(ISNUMBER(SEARCH(F$5,$R6)),$F$5,0))</f>
        <v>0</v>
      </c>
      <c r="G6" s="196">
        <f aca="true" t="shared" si="4" ref="G6:H69">IF(ISERROR(SEARCH(G$5,$R6)),0,IF(ISNUMBER(SEARCH(G$5,$R6)),$G$5,0))</f>
        <v>0</v>
      </c>
      <c r="H6" s="196">
        <f t="shared" si="4"/>
        <v>0</v>
      </c>
      <c r="I6" s="196">
        <f aca="true" t="shared" si="5" ref="I6:J69">IF(ISERROR(SEARCH(I$5,$R6)),0,IF(ISNUMBER(SEARCH(I$5,$R6)),$I$5,0))</f>
        <v>0</v>
      </c>
      <c r="J6" s="196">
        <f t="shared" si="5"/>
        <v>0</v>
      </c>
      <c r="K6" s="196" t="str">
        <f aca="true" t="shared" si="6" ref="K6:K69">IF(ISTEXT(A6),A6,IF(ISTEXT(B6),B6,IF(ISTEXT(C6),C6,IF(ISTEXT(D6),D6,IF(ISTEXT(E6),E6,IF(ISTEXT(F6),F6,IF(ISTEXT(G6),G6,0)))))))</f>
        <v>Solar</v>
      </c>
      <c r="L6" s="196" t="str">
        <f aca="true" t="shared" si="7" ref="L6:L69">IF(ISTEXT(H6),H6,IF(ISTEXT(I6),I6,IF(ISTEXT(J6),J6,IF(ISTEXT(K6),K6,""))))</f>
        <v>Solar</v>
      </c>
      <c r="M6" s="196" t="str">
        <f aca="true" t="shared" si="8" ref="M6:M69">CONCATENATE($Z6,IF($T6&gt;=1999,"New","Old"),IF($V6&gt;0,"MWH",""),$L6)</f>
        <v>YesNewMWHSolar</v>
      </c>
      <c r="N6" s="196" t="str">
        <f aca="true" t="shared" si="9" ref="N6:N69">CONCATENATE($Z6,IF($T6&gt;=1999,"New","Old"),IF($X6&gt;0,"MBtu",""),$L6)</f>
        <v>YesNewSolar</v>
      </c>
      <c r="O6" s="196" t="str">
        <f aca="true" t="shared" si="10" ref="O6:O69">CONCATENATE($Z6,IF($T6&gt;=1999,"New","Old"),IF($V6&gt;0,"MWH",""),$L6,$U6)</f>
        <v>YesNewMWHSolaryes</v>
      </c>
      <c r="P6" s="196" t="str">
        <f aca="true" t="shared" si="11" ref="P6:P69">CONCATENATE($Z6,IF($T6&gt;=1999,"New","Old"),IF($X6&gt;0,"MBtu",""),$L6,$U6)</f>
        <v>YesNewSolaryes</v>
      </c>
      <c r="Q6" s="196" t="str">
        <f aca="true" t="shared" si="12" ref="Q6:Q69">CONCATENATE($Z6,IF($T6&gt;=1999,"New","Old"),IF($V6&gt;0,"MWH",""))</f>
        <v>YesNewMWH</v>
      </c>
      <c r="R6" s="259" t="s">
        <v>246</v>
      </c>
      <c r="S6" s="259" t="s">
        <v>635</v>
      </c>
      <c r="T6" s="209" t="s">
        <v>618</v>
      </c>
      <c r="U6" s="259" t="s">
        <v>629</v>
      </c>
      <c r="V6" s="421">
        <v>0.027000000000000003</v>
      </c>
      <c r="W6" s="421">
        <v>0.027000000000000003</v>
      </c>
      <c r="X6" s="421"/>
      <c r="Y6" s="421"/>
      <c r="Z6" s="259" t="s">
        <v>195</v>
      </c>
      <c r="AA6" s="422"/>
    </row>
    <row r="7" spans="1:27" ht="13.5" customHeight="1">
      <c r="A7" s="196">
        <f t="shared" si="0"/>
        <v>0</v>
      </c>
      <c r="B7" s="196" t="str">
        <f t="shared" si="0"/>
        <v>Solar</v>
      </c>
      <c r="C7" s="196">
        <f t="shared" si="0"/>
        <v>0</v>
      </c>
      <c r="D7" s="196">
        <f t="shared" si="1"/>
        <v>0</v>
      </c>
      <c r="E7" s="196">
        <f t="shared" si="2"/>
        <v>0</v>
      </c>
      <c r="F7" s="196">
        <f t="shared" si="3"/>
        <v>0</v>
      </c>
      <c r="G7" s="196">
        <f t="shared" si="4"/>
        <v>0</v>
      </c>
      <c r="H7" s="196">
        <f t="shared" si="4"/>
        <v>0</v>
      </c>
      <c r="I7" s="196">
        <f t="shared" si="5"/>
        <v>0</v>
      </c>
      <c r="J7" s="196">
        <f t="shared" si="5"/>
        <v>0</v>
      </c>
      <c r="K7" s="196" t="str">
        <f t="shared" si="6"/>
        <v>Solar</v>
      </c>
      <c r="L7" s="196" t="str">
        <f t="shared" si="7"/>
        <v>Solar</v>
      </c>
      <c r="M7" s="196" t="str">
        <f t="shared" si="8"/>
        <v>YesNewMWHSolar</v>
      </c>
      <c r="N7" s="196" t="str">
        <f t="shared" si="9"/>
        <v>YesNewSolar</v>
      </c>
      <c r="O7" s="196" t="str">
        <f t="shared" si="10"/>
        <v>YesNewMWHSolaryes</v>
      </c>
      <c r="P7" s="196" t="str">
        <f t="shared" si="11"/>
        <v>YesNewSolaryes</v>
      </c>
      <c r="Q7" s="196" t="str">
        <f t="shared" si="12"/>
        <v>YesNewMWH</v>
      </c>
      <c r="R7" s="259" t="s">
        <v>246</v>
      </c>
      <c r="S7" s="259" t="s">
        <v>635</v>
      </c>
      <c r="T7" s="209" t="s">
        <v>618</v>
      </c>
      <c r="U7" s="259" t="s">
        <v>629</v>
      </c>
      <c r="V7" s="421">
        <v>0.027000000000000003</v>
      </c>
      <c r="W7" s="421">
        <v>0.027000000000000003</v>
      </c>
      <c r="X7" s="421"/>
      <c r="Y7" s="421"/>
      <c r="Z7" s="259" t="s">
        <v>195</v>
      </c>
      <c r="AA7" s="422"/>
    </row>
    <row r="8" spans="1:27" ht="13.5" customHeight="1">
      <c r="A8" s="196">
        <f t="shared" si="0"/>
        <v>0</v>
      </c>
      <c r="B8" s="196" t="str">
        <f t="shared" si="0"/>
        <v>Solar</v>
      </c>
      <c r="C8" s="196">
        <f t="shared" si="0"/>
        <v>0</v>
      </c>
      <c r="D8" s="196">
        <f t="shared" si="1"/>
        <v>0</v>
      </c>
      <c r="E8" s="196">
        <f t="shared" si="2"/>
        <v>0</v>
      </c>
      <c r="F8" s="196">
        <f t="shared" si="3"/>
        <v>0</v>
      </c>
      <c r="G8" s="196">
        <f t="shared" si="4"/>
        <v>0</v>
      </c>
      <c r="H8" s="196">
        <f t="shared" si="4"/>
        <v>0</v>
      </c>
      <c r="I8" s="196">
        <f t="shared" si="5"/>
        <v>0</v>
      </c>
      <c r="J8" s="196">
        <f t="shared" si="5"/>
        <v>0</v>
      </c>
      <c r="K8" s="196" t="str">
        <f t="shared" si="6"/>
        <v>Solar</v>
      </c>
      <c r="L8" s="196" t="str">
        <f t="shared" si="7"/>
        <v>Solar</v>
      </c>
      <c r="M8" s="196" t="str">
        <f t="shared" si="8"/>
        <v>YesNewMWHSolar</v>
      </c>
      <c r="N8" s="196" t="str">
        <f t="shared" si="9"/>
        <v>YesNewSolar</v>
      </c>
      <c r="O8" s="196" t="str">
        <f t="shared" si="10"/>
        <v>YesNewMWHSolaryes</v>
      </c>
      <c r="P8" s="196" t="str">
        <f t="shared" si="11"/>
        <v>YesNewSolaryes</v>
      </c>
      <c r="Q8" s="196" t="str">
        <f t="shared" si="12"/>
        <v>YesNewMWH</v>
      </c>
      <c r="R8" s="259" t="s">
        <v>246</v>
      </c>
      <c r="S8" s="259" t="s">
        <v>635</v>
      </c>
      <c r="T8" s="209" t="s">
        <v>618</v>
      </c>
      <c r="U8" s="259" t="s">
        <v>629</v>
      </c>
      <c r="V8" s="421">
        <v>0.09</v>
      </c>
      <c r="W8" s="421">
        <v>0.09</v>
      </c>
      <c r="X8" s="421"/>
      <c r="Y8" s="421"/>
      <c r="Z8" s="259" t="s">
        <v>195</v>
      </c>
      <c r="AA8" s="422"/>
    </row>
    <row r="9" spans="1:27" ht="13.5" customHeight="1">
      <c r="A9" s="196">
        <f t="shared" si="0"/>
        <v>0</v>
      </c>
      <c r="B9" s="196" t="str">
        <f t="shared" si="0"/>
        <v>Solar</v>
      </c>
      <c r="C9" s="196">
        <f t="shared" si="0"/>
        <v>0</v>
      </c>
      <c r="D9" s="196">
        <f t="shared" si="1"/>
        <v>0</v>
      </c>
      <c r="E9" s="196">
        <f t="shared" si="2"/>
        <v>0</v>
      </c>
      <c r="F9" s="196">
        <f t="shared" si="3"/>
        <v>0</v>
      </c>
      <c r="G9" s="196">
        <f t="shared" si="4"/>
        <v>0</v>
      </c>
      <c r="H9" s="196">
        <f t="shared" si="4"/>
        <v>0</v>
      </c>
      <c r="I9" s="196">
        <f t="shared" si="5"/>
        <v>0</v>
      </c>
      <c r="J9" s="196">
        <f t="shared" si="5"/>
        <v>0</v>
      </c>
      <c r="K9" s="196" t="str">
        <f t="shared" si="6"/>
        <v>Solar</v>
      </c>
      <c r="L9" s="196" t="str">
        <f t="shared" si="7"/>
        <v>Solar</v>
      </c>
      <c r="M9" s="196" t="str">
        <f t="shared" si="8"/>
        <v>YesNewMWHSolar</v>
      </c>
      <c r="N9" s="196" t="str">
        <f t="shared" si="9"/>
        <v>YesNewSolar</v>
      </c>
      <c r="O9" s="196" t="str">
        <f t="shared" si="10"/>
        <v>YesNewMWHSolaryes</v>
      </c>
      <c r="P9" s="196" t="str">
        <f t="shared" si="11"/>
        <v>YesNewSolaryes</v>
      </c>
      <c r="Q9" s="196" t="str">
        <f t="shared" si="12"/>
        <v>YesNewMWH</v>
      </c>
      <c r="R9" s="259" t="s">
        <v>246</v>
      </c>
      <c r="S9" s="259" t="s">
        <v>635</v>
      </c>
      <c r="T9" s="209" t="s">
        <v>618</v>
      </c>
      <c r="U9" s="259" t="s">
        <v>629</v>
      </c>
      <c r="V9" s="421">
        <v>0.015</v>
      </c>
      <c r="W9" s="421">
        <v>0.015</v>
      </c>
      <c r="X9" s="421"/>
      <c r="Y9" s="421"/>
      <c r="Z9" s="259" t="s">
        <v>195</v>
      </c>
      <c r="AA9" s="422"/>
    </row>
    <row r="10" spans="1:27" ht="13.5" customHeight="1">
      <c r="A10" s="196">
        <f t="shared" si="0"/>
        <v>0</v>
      </c>
      <c r="B10" s="196" t="str">
        <f t="shared" si="0"/>
        <v>Solar</v>
      </c>
      <c r="C10" s="196">
        <f t="shared" si="0"/>
        <v>0</v>
      </c>
      <c r="D10" s="196">
        <f t="shared" si="1"/>
        <v>0</v>
      </c>
      <c r="E10" s="196">
        <f t="shared" si="2"/>
        <v>0</v>
      </c>
      <c r="F10" s="196">
        <f t="shared" si="3"/>
        <v>0</v>
      </c>
      <c r="G10" s="196">
        <f t="shared" si="4"/>
        <v>0</v>
      </c>
      <c r="H10" s="196">
        <f t="shared" si="4"/>
        <v>0</v>
      </c>
      <c r="I10" s="196">
        <f t="shared" si="5"/>
        <v>0</v>
      </c>
      <c r="J10" s="196">
        <f t="shared" si="5"/>
        <v>0</v>
      </c>
      <c r="K10" s="196" t="str">
        <f t="shared" si="6"/>
        <v>Solar</v>
      </c>
      <c r="L10" s="196" t="str">
        <f t="shared" si="7"/>
        <v>Solar</v>
      </c>
      <c r="M10" s="196" t="str">
        <f t="shared" si="8"/>
        <v>YesNewMWHSolar</v>
      </c>
      <c r="N10" s="196" t="str">
        <f t="shared" si="9"/>
        <v>YesNewSolar</v>
      </c>
      <c r="O10" s="196" t="str">
        <f t="shared" si="10"/>
        <v>YesNewMWHSolaryes</v>
      </c>
      <c r="P10" s="196" t="str">
        <f t="shared" si="11"/>
        <v>YesNewSolaryes</v>
      </c>
      <c r="Q10" s="196" t="str">
        <f t="shared" si="12"/>
        <v>YesNewMWH</v>
      </c>
      <c r="R10" s="259" t="s">
        <v>246</v>
      </c>
      <c r="S10" s="259" t="s">
        <v>635</v>
      </c>
      <c r="T10" s="209" t="s">
        <v>618</v>
      </c>
      <c r="U10" s="259" t="s">
        <v>629</v>
      </c>
      <c r="V10" s="421">
        <v>0.027000000000000003</v>
      </c>
      <c r="W10" s="421">
        <v>0.027000000000000003</v>
      </c>
      <c r="X10" s="421"/>
      <c r="Y10" s="421"/>
      <c r="Z10" s="259" t="s">
        <v>195</v>
      </c>
      <c r="AA10" s="422"/>
    </row>
    <row r="11" spans="1:27" ht="13.5" customHeight="1">
      <c r="A11" s="196">
        <f t="shared" si="0"/>
        <v>0</v>
      </c>
      <c r="B11" s="196" t="str">
        <f t="shared" si="0"/>
        <v>Solar</v>
      </c>
      <c r="C11" s="196">
        <f t="shared" si="0"/>
        <v>0</v>
      </c>
      <c r="D11" s="196">
        <f t="shared" si="1"/>
        <v>0</v>
      </c>
      <c r="E11" s="196">
        <f t="shared" si="2"/>
        <v>0</v>
      </c>
      <c r="F11" s="196">
        <f t="shared" si="3"/>
        <v>0</v>
      </c>
      <c r="G11" s="196">
        <f t="shared" si="4"/>
        <v>0</v>
      </c>
      <c r="H11" s="196">
        <f t="shared" si="4"/>
        <v>0</v>
      </c>
      <c r="I11" s="196">
        <f t="shared" si="5"/>
        <v>0</v>
      </c>
      <c r="J11" s="196">
        <f t="shared" si="5"/>
        <v>0</v>
      </c>
      <c r="K11" s="196" t="str">
        <f t="shared" si="6"/>
        <v>Solar</v>
      </c>
      <c r="L11" s="196" t="str">
        <f t="shared" si="7"/>
        <v>Solar</v>
      </c>
      <c r="M11" s="196" t="str">
        <f t="shared" si="8"/>
        <v>YesNewMWHSolar</v>
      </c>
      <c r="N11" s="196" t="str">
        <f t="shared" si="9"/>
        <v>YesNewSolar</v>
      </c>
      <c r="O11" s="196" t="str">
        <f t="shared" si="10"/>
        <v>YesNewMWHSolaryes</v>
      </c>
      <c r="P11" s="196" t="str">
        <f t="shared" si="11"/>
        <v>YesNewSolaryes</v>
      </c>
      <c r="Q11" s="196" t="str">
        <f t="shared" si="12"/>
        <v>YesNewMWH</v>
      </c>
      <c r="R11" s="259" t="s">
        <v>246</v>
      </c>
      <c r="S11" s="259" t="s">
        <v>635</v>
      </c>
      <c r="T11" s="209" t="s">
        <v>618</v>
      </c>
      <c r="U11" s="259" t="s">
        <v>629</v>
      </c>
      <c r="V11" s="421">
        <v>0.045</v>
      </c>
      <c r="W11" s="421">
        <v>0.045</v>
      </c>
      <c r="X11" s="421"/>
      <c r="Y11" s="421"/>
      <c r="Z11" s="259" t="s">
        <v>195</v>
      </c>
      <c r="AA11" s="422"/>
    </row>
    <row r="12" spans="1:27" ht="13.5" customHeight="1">
      <c r="A12" s="196">
        <f t="shared" si="0"/>
        <v>0</v>
      </c>
      <c r="B12" s="196" t="str">
        <f t="shared" si="0"/>
        <v>Solar</v>
      </c>
      <c r="C12" s="196">
        <f t="shared" si="0"/>
        <v>0</v>
      </c>
      <c r="D12" s="196">
        <f t="shared" si="1"/>
        <v>0</v>
      </c>
      <c r="E12" s="196">
        <f t="shared" si="2"/>
        <v>0</v>
      </c>
      <c r="F12" s="196">
        <f t="shared" si="3"/>
        <v>0</v>
      </c>
      <c r="G12" s="196">
        <f t="shared" si="4"/>
        <v>0</v>
      </c>
      <c r="H12" s="196">
        <f t="shared" si="4"/>
        <v>0</v>
      </c>
      <c r="I12" s="196">
        <f t="shared" si="5"/>
        <v>0</v>
      </c>
      <c r="J12" s="196">
        <f t="shared" si="5"/>
        <v>0</v>
      </c>
      <c r="K12" s="196" t="str">
        <f t="shared" si="6"/>
        <v>Solar</v>
      </c>
      <c r="L12" s="196" t="str">
        <f t="shared" si="7"/>
        <v>Solar</v>
      </c>
      <c r="M12" s="196" t="str">
        <f t="shared" si="8"/>
        <v>YesNewMWHSolar</v>
      </c>
      <c r="N12" s="196" t="str">
        <f t="shared" si="9"/>
        <v>YesNewSolar</v>
      </c>
      <c r="O12" s="196" t="str">
        <f t="shared" si="10"/>
        <v>YesNewMWHSolaryes</v>
      </c>
      <c r="P12" s="196" t="str">
        <f t="shared" si="11"/>
        <v>YesNewSolaryes</v>
      </c>
      <c r="Q12" s="196" t="str">
        <f t="shared" si="12"/>
        <v>YesNewMWH</v>
      </c>
      <c r="R12" s="259" t="s">
        <v>246</v>
      </c>
      <c r="S12" s="259" t="s">
        <v>635</v>
      </c>
      <c r="T12" s="209" t="s">
        <v>618</v>
      </c>
      <c r="U12" s="259" t="s">
        <v>629</v>
      </c>
      <c r="V12" s="421">
        <v>5.137</v>
      </c>
      <c r="W12" s="421">
        <v>0.072</v>
      </c>
      <c r="X12" s="421"/>
      <c r="Y12" s="421"/>
      <c r="Z12" s="259" t="s">
        <v>195</v>
      </c>
      <c r="AA12" s="422"/>
    </row>
    <row r="13" spans="1:27" ht="13.5" customHeight="1">
      <c r="A13" s="196">
        <f t="shared" si="0"/>
        <v>0</v>
      </c>
      <c r="B13" s="196" t="str">
        <f t="shared" si="0"/>
        <v>Solar</v>
      </c>
      <c r="C13" s="196">
        <f t="shared" si="0"/>
        <v>0</v>
      </c>
      <c r="D13" s="196">
        <f t="shared" si="1"/>
        <v>0</v>
      </c>
      <c r="E13" s="196">
        <f t="shared" si="2"/>
        <v>0</v>
      </c>
      <c r="F13" s="196">
        <f t="shared" si="3"/>
        <v>0</v>
      </c>
      <c r="G13" s="196">
        <f t="shared" si="4"/>
        <v>0</v>
      </c>
      <c r="H13" s="196">
        <f t="shared" si="4"/>
        <v>0</v>
      </c>
      <c r="I13" s="196">
        <f t="shared" si="5"/>
        <v>0</v>
      </c>
      <c r="J13" s="196">
        <f t="shared" si="5"/>
        <v>0</v>
      </c>
      <c r="K13" s="196" t="str">
        <f t="shared" si="6"/>
        <v>Solar</v>
      </c>
      <c r="L13" s="196" t="str">
        <f t="shared" si="7"/>
        <v>Solar</v>
      </c>
      <c r="M13" s="196" t="str">
        <f t="shared" si="8"/>
        <v>YesNewMWHSolar</v>
      </c>
      <c r="N13" s="196" t="str">
        <f t="shared" si="9"/>
        <v>YesNewSolar</v>
      </c>
      <c r="O13" s="196" t="str">
        <f t="shared" si="10"/>
        <v>YesNewMWHSolaryes</v>
      </c>
      <c r="P13" s="196" t="str">
        <f t="shared" si="11"/>
        <v>YesNewSolaryes</v>
      </c>
      <c r="Q13" s="196" t="str">
        <f t="shared" si="12"/>
        <v>YesNewMWH</v>
      </c>
      <c r="R13" s="259" t="s">
        <v>246</v>
      </c>
      <c r="S13" s="259" t="s">
        <v>635</v>
      </c>
      <c r="T13" s="209" t="s">
        <v>618</v>
      </c>
      <c r="U13" s="259" t="s">
        <v>629</v>
      </c>
      <c r="V13" s="421">
        <v>0.0075</v>
      </c>
      <c r="W13" s="421">
        <v>0.0075</v>
      </c>
      <c r="X13" s="421"/>
      <c r="Y13" s="421"/>
      <c r="Z13" s="259" t="s">
        <v>195</v>
      </c>
      <c r="AA13" s="422"/>
    </row>
    <row r="14" spans="1:27" ht="13.5" customHeight="1">
      <c r="A14" s="196">
        <f t="shared" si="0"/>
        <v>0</v>
      </c>
      <c r="B14" s="196" t="str">
        <f t="shared" si="0"/>
        <v>Solar</v>
      </c>
      <c r="C14" s="196">
        <f t="shared" si="0"/>
        <v>0</v>
      </c>
      <c r="D14" s="196">
        <f t="shared" si="1"/>
        <v>0</v>
      </c>
      <c r="E14" s="196">
        <f t="shared" si="2"/>
        <v>0</v>
      </c>
      <c r="F14" s="196">
        <f t="shared" si="3"/>
        <v>0</v>
      </c>
      <c r="G14" s="196">
        <f t="shared" si="4"/>
        <v>0</v>
      </c>
      <c r="H14" s="196">
        <f t="shared" si="4"/>
        <v>0</v>
      </c>
      <c r="I14" s="196">
        <f t="shared" si="5"/>
        <v>0</v>
      </c>
      <c r="J14" s="196">
        <f t="shared" si="5"/>
        <v>0</v>
      </c>
      <c r="K14" s="196" t="str">
        <f t="shared" si="6"/>
        <v>Solar</v>
      </c>
      <c r="L14" s="196" t="str">
        <f t="shared" si="7"/>
        <v>Solar</v>
      </c>
      <c r="M14" s="196" t="str">
        <f t="shared" si="8"/>
        <v>YesNewMWHSolar</v>
      </c>
      <c r="N14" s="196" t="str">
        <f t="shared" si="9"/>
        <v>YesNewSolar</v>
      </c>
      <c r="O14" s="196" t="str">
        <f t="shared" si="10"/>
        <v>YesNewMWHSolaryes</v>
      </c>
      <c r="P14" s="196" t="str">
        <f t="shared" si="11"/>
        <v>YesNewSolaryes</v>
      </c>
      <c r="Q14" s="196" t="str">
        <f t="shared" si="12"/>
        <v>YesNewMWH</v>
      </c>
      <c r="R14" s="259" t="s">
        <v>246</v>
      </c>
      <c r="S14" s="259" t="s">
        <v>635</v>
      </c>
      <c r="T14" s="209" t="s">
        <v>618</v>
      </c>
      <c r="U14" s="259" t="s">
        <v>629</v>
      </c>
      <c r="V14" s="421">
        <v>0.09</v>
      </c>
      <c r="W14" s="421">
        <v>0.09</v>
      </c>
      <c r="X14" s="421"/>
      <c r="Y14" s="421"/>
      <c r="Z14" s="259" t="s">
        <v>195</v>
      </c>
      <c r="AA14" s="422"/>
    </row>
    <row r="15" spans="1:27" ht="13.5" customHeight="1">
      <c r="A15" s="196">
        <f t="shared" si="0"/>
        <v>0</v>
      </c>
      <c r="B15" s="196" t="str">
        <f t="shared" si="0"/>
        <v>Solar</v>
      </c>
      <c r="C15" s="196">
        <f t="shared" si="0"/>
        <v>0</v>
      </c>
      <c r="D15" s="196">
        <f t="shared" si="1"/>
        <v>0</v>
      </c>
      <c r="E15" s="196">
        <f t="shared" si="2"/>
        <v>0</v>
      </c>
      <c r="F15" s="196">
        <f t="shared" si="3"/>
        <v>0</v>
      </c>
      <c r="G15" s="196">
        <f t="shared" si="4"/>
        <v>0</v>
      </c>
      <c r="H15" s="196">
        <f t="shared" si="4"/>
        <v>0</v>
      </c>
      <c r="I15" s="196">
        <f t="shared" si="5"/>
        <v>0</v>
      </c>
      <c r="J15" s="196">
        <f t="shared" si="5"/>
        <v>0</v>
      </c>
      <c r="K15" s="196" t="str">
        <f t="shared" si="6"/>
        <v>Solar</v>
      </c>
      <c r="L15" s="196" t="str">
        <f t="shared" si="7"/>
        <v>Solar</v>
      </c>
      <c r="M15" s="196" t="str">
        <f t="shared" si="8"/>
        <v>YesNewMWHSolar</v>
      </c>
      <c r="N15" s="196" t="str">
        <f t="shared" si="9"/>
        <v>YesNewSolar</v>
      </c>
      <c r="O15" s="196" t="str">
        <f t="shared" si="10"/>
        <v>YesNewMWHSolaryes</v>
      </c>
      <c r="P15" s="196" t="str">
        <f t="shared" si="11"/>
        <v>YesNewSolaryes</v>
      </c>
      <c r="Q15" s="196" t="str">
        <f t="shared" si="12"/>
        <v>YesNewMWH</v>
      </c>
      <c r="R15" s="259" t="s">
        <v>246</v>
      </c>
      <c r="S15" s="259" t="s">
        <v>635</v>
      </c>
      <c r="T15" s="209" t="s">
        <v>618</v>
      </c>
      <c r="U15" s="259" t="s">
        <v>629</v>
      </c>
      <c r="V15" s="421">
        <v>0.027000000000000003</v>
      </c>
      <c r="W15" s="421">
        <v>0.027000000000000003</v>
      </c>
      <c r="X15" s="421"/>
      <c r="Y15" s="421"/>
      <c r="Z15" s="259" t="s">
        <v>195</v>
      </c>
      <c r="AA15" s="422"/>
    </row>
    <row r="16" spans="1:27" ht="13.5" customHeight="1">
      <c r="A16" s="196">
        <f t="shared" si="0"/>
        <v>0</v>
      </c>
      <c r="B16" s="196" t="str">
        <f t="shared" si="0"/>
        <v>Solar</v>
      </c>
      <c r="C16" s="196">
        <f t="shared" si="0"/>
        <v>0</v>
      </c>
      <c r="D16" s="196">
        <f t="shared" si="1"/>
        <v>0</v>
      </c>
      <c r="E16" s="196">
        <f t="shared" si="2"/>
        <v>0</v>
      </c>
      <c r="F16" s="196">
        <f t="shared" si="3"/>
        <v>0</v>
      </c>
      <c r="G16" s="196">
        <f t="shared" si="4"/>
        <v>0</v>
      </c>
      <c r="H16" s="196">
        <f t="shared" si="4"/>
        <v>0</v>
      </c>
      <c r="I16" s="196">
        <f t="shared" si="5"/>
        <v>0</v>
      </c>
      <c r="J16" s="196">
        <f t="shared" si="5"/>
        <v>0</v>
      </c>
      <c r="K16" s="196" t="str">
        <f t="shared" si="6"/>
        <v>Solar</v>
      </c>
      <c r="L16" s="196" t="str">
        <f t="shared" si="7"/>
        <v>Solar</v>
      </c>
      <c r="M16" s="196" t="str">
        <f t="shared" si="8"/>
        <v>YesNewMWHSolar</v>
      </c>
      <c r="N16" s="196" t="str">
        <f t="shared" si="9"/>
        <v>YesNewSolar</v>
      </c>
      <c r="O16" s="196" t="str">
        <f t="shared" si="10"/>
        <v>YesNewMWHSolaryes</v>
      </c>
      <c r="P16" s="196" t="str">
        <f t="shared" si="11"/>
        <v>YesNewSolaryes</v>
      </c>
      <c r="Q16" s="196" t="str">
        <f t="shared" si="12"/>
        <v>YesNewMWH</v>
      </c>
      <c r="R16" s="259" t="s">
        <v>246</v>
      </c>
      <c r="S16" s="259" t="s">
        <v>635</v>
      </c>
      <c r="T16" s="209" t="s">
        <v>618</v>
      </c>
      <c r="U16" s="259" t="s">
        <v>629</v>
      </c>
      <c r="V16" s="421">
        <v>0.072</v>
      </c>
      <c r="W16" s="421">
        <v>0.072</v>
      </c>
      <c r="X16" s="421"/>
      <c r="Y16" s="421"/>
      <c r="Z16" s="259" t="s">
        <v>195</v>
      </c>
      <c r="AA16" s="422"/>
    </row>
    <row r="17" spans="1:27" ht="13.5" customHeight="1">
      <c r="A17" s="196">
        <f t="shared" si="0"/>
        <v>0</v>
      </c>
      <c r="B17" s="196" t="str">
        <f t="shared" si="0"/>
        <v>Solar</v>
      </c>
      <c r="C17" s="196">
        <f t="shared" si="0"/>
        <v>0</v>
      </c>
      <c r="D17" s="196">
        <f t="shared" si="1"/>
        <v>0</v>
      </c>
      <c r="E17" s="196">
        <f t="shared" si="2"/>
        <v>0</v>
      </c>
      <c r="F17" s="196">
        <f t="shared" si="3"/>
        <v>0</v>
      </c>
      <c r="G17" s="196">
        <f t="shared" si="4"/>
        <v>0</v>
      </c>
      <c r="H17" s="196">
        <f t="shared" si="4"/>
        <v>0</v>
      </c>
      <c r="I17" s="196">
        <f t="shared" si="5"/>
        <v>0</v>
      </c>
      <c r="J17" s="196">
        <f t="shared" si="5"/>
        <v>0</v>
      </c>
      <c r="K17" s="196" t="str">
        <f t="shared" si="6"/>
        <v>Solar</v>
      </c>
      <c r="L17" s="196" t="str">
        <f t="shared" si="7"/>
        <v>Solar</v>
      </c>
      <c r="M17" s="196" t="str">
        <f t="shared" si="8"/>
        <v>YesNewMWHSolar</v>
      </c>
      <c r="N17" s="196" t="str">
        <f t="shared" si="9"/>
        <v>YesNewSolar</v>
      </c>
      <c r="O17" s="196" t="str">
        <f t="shared" si="10"/>
        <v>YesNewMWHSolaryes</v>
      </c>
      <c r="P17" s="196" t="str">
        <f t="shared" si="11"/>
        <v>YesNewSolaryes</v>
      </c>
      <c r="Q17" s="196" t="str">
        <f t="shared" si="12"/>
        <v>YesNewMWH</v>
      </c>
      <c r="R17" s="259" t="s">
        <v>246</v>
      </c>
      <c r="S17" s="259" t="s">
        <v>635</v>
      </c>
      <c r="T17" s="209" t="s">
        <v>618</v>
      </c>
      <c r="U17" s="259" t="s">
        <v>629</v>
      </c>
      <c r="V17" s="421">
        <v>0.054000000000000006</v>
      </c>
      <c r="W17" s="421">
        <v>0.054000000000000006</v>
      </c>
      <c r="X17" s="421"/>
      <c r="Y17" s="421"/>
      <c r="Z17" s="259" t="s">
        <v>195</v>
      </c>
      <c r="AA17" s="422"/>
    </row>
    <row r="18" spans="1:27" ht="13.5" customHeight="1">
      <c r="A18" s="196">
        <f t="shared" si="0"/>
        <v>0</v>
      </c>
      <c r="B18" s="196" t="str">
        <f t="shared" si="0"/>
        <v>Solar</v>
      </c>
      <c r="C18" s="196">
        <f t="shared" si="0"/>
        <v>0</v>
      </c>
      <c r="D18" s="196">
        <f t="shared" si="1"/>
        <v>0</v>
      </c>
      <c r="E18" s="196">
        <f t="shared" si="2"/>
        <v>0</v>
      </c>
      <c r="F18" s="196">
        <f t="shared" si="3"/>
        <v>0</v>
      </c>
      <c r="G18" s="196">
        <f t="shared" si="4"/>
        <v>0</v>
      </c>
      <c r="H18" s="196">
        <f t="shared" si="4"/>
        <v>0</v>
      </c>
      <c r="I18" s="196">
        <f t="shared" si="5"/>
        <v>0</v>
      </c>
      <c r="J18" s="196">
        <f t="shared" si="5"/>
        <v>0</v>
      </c>
      <c r="K18" s="196" t="str">
        <f t="shared" si="6"/>
        <v>Solar</v>
      </c>
      <c r="L18" s="196" t="str">
        <f t="shared" si="7"/>
        <v>Solar</v>
      </c>
      <c r="M18" s="196" t="str">
        <f t="shared" si="8"/>
        <v>YesNewMWHSolar</v>
      </c>
      <c r="N18" s="196" t="str">
        <f t="shared" si="9"/>
        <v>YesNewSolar</v>
      </c>
      <c r="O18" s="196" t="str">
        <f t="shared" si="10"/>
        <v>YesNewMWHSolaryes</v>
      </c>
      <c r="P18" s="196" t="str">
        <f t="shared" si="11"/>
        <v>YesNewSolaryes</v>
      </c>
      <c r="Q18" s="196" t="str">
        <f t="shared" si="12"/>
        <v>YesNewMWH</v>
      </c>
      <c r="R18" s="259" t="s">
        <v>246</v>
      </c>
      <c r="S18" s="259" t="s">
        <v>635</v>
      </c>
      <c r="T18" s="209" t="s">
        <v>618</v>
      </c>
      <c r="U18" s="259" t="s">
        <v>629</v>
      </c>
      <c r="V18" s="421">
        <v>0.072</v>
      </c>
      <c r="W18" s="421">
        <v>0.072</v>
      </c>
      <c r="X18" s="421"/>
      <c r="Y18" s="421"/>
      <c r="Z18" s="259" t="s">
        <v>195</v>
      </c>
      <c r="AA18" s="422"/>
    </row>
    <row r="19" spans="1:27" ht="13.5" customHeight="1">
      <c r="A19" s="196">
        <f t="shared" si="0"/>
        <v>0</v>
      </c>
      <c r="B19" s="196" t="str">
        <f t="shared" si="0"/>
        <v>Solar</v>
      </c>
      <c r="C19" s="196">
        <f t="shared" si="0"/>
        <v>0</v>
      </c>
      <c r="D19" s="196">
        <f t="shared" si="1"/>
        <v>0</v>
      </c>
      <c r="E19" s="196">
        <f t="shared" si="2"/>
        <v>0</v>
      </c>
      <c r="F19" s="196">
        <f t="shared" si="3"/>
        <v>0</v>
      </c>
      <c r="G19" s="196">
        <f t="shared" si="4"/>
        <v>0</v>
      </c>
      <c r="H19" s="196">
        <f t="shared" si="4"/>
        <v>0</v>
      </c>
      <c r="I19" s="196">
        <f t="shared" si="5"/>
        <v>0</v>
      </c>
      <c r="J19" s="196">
        <f t="shared" si="5"/>
        <v>0</v>
      </c>
      <c r="K19" s="196" t="str">
        <f t="shared" si="6"/>
        <v>Solar</v>
      </c>
      <c r="L19" s="196" t="str">
        <f t="shared" si="7"/>
        <v>Solar</v>
      </c>
      <c r="M19" s="196" t="str">
        <f t="shared" si="8"/>
        <v>YesNewMWHSolar</v>
      </c>
      <c r="N19" s="196" t="str">
        <f t="shared" si="9"/>
        <v>YesNewSolar</v>
      </c>
      <c r="O19" s="196" t="str">
        <f t="shared" si="10"/>
        <v>YesNewMWHSolaryes</v>
      </c>
      <c r="P19" s="196" t="str">
        <f t="shared" si="11"/>
        <v>YesNewSolaryes</v>
      </c>
      <c r="Q19" s="196" t="str">
        <f t="shared" si="12"/>
        <v>YesNewMWH</v>
      </c>
      <c r="R19" s="259" t="s">
        <v>246</v>
      </c>
      <c r="S19" s="259" t="s">
        <v>635</v>
      </c>
      <c r="T19" s="209" t="s">
        <v>618</v>
      </c>
      <c r="U19" s="259" t="s">
        <v>629</v>
      </c>
      <c r="V19" s="421">
        <v>0.054000000000000006</v>
      </c>
      <c r="W19" s="421">
        <v>0.054000000000000006</v>
      </c>
      <c r="X19" s="421"/>
      <c r="Y19" s="421"/>
      <c r="Z19" s="259" t="s">
        <v>195</v>
      </c>
      <c r="AA19" s="422"/>
    </row>
    <row r="20" spans="1:27" ht="13.5" customHeight="1">
      <c r="A20" s="196">
        <f t="shared" si="0"/>
        <v>0</v>
      </c>
      <c r="B20" s="196" t="str">
        <f t="shared" si="0"/>
        <v>Solar</v>
      </c>
      <c r="C20" s="196">
        <f t="shared" si="0"/>
        <v>0</v>
      </c>
      <c r="D20" s="196">
        <f t="shared" si="1"/>
        <v>0</v>
      </c>
      <c r="E20" s="196">
        <f t="shared" si="2"/>
        <v>0</v>
      </c>
      <c r="F20" s="196">
        <f t="shared" si="3"/>
        <v>0</v>
      </c>
      <c r="G20" s="196">
        <f t="shared" si="4"/>
        <v>0</v>
      </c>
      <c r="H20" s="196">
        <f t="shared" si="4"/>
        <v>0</v>
      </c>
      <c r="I20" s="196">
        <f t="shared" si="5"/>
        <v>0</v>
      </c>
      <c r="J20" s="196">
        <f t="shared" si="5"/>
        <v>0</v>
      </c>
      <c r="K20" s="196" t="str">
        <f t="shared" si="6"/>
        <v>Solar</v>
      </c>
      <c r="L20" s="196" t="str">
        <f t="shared" si="7"/>
        <v>Solar</v>
      </c>
      <c r="M20" s="196" t="str">
        <f t="shared" si="8"/>
        <v>YesNewMWHSolar</v>
      </c>
      <c r="N20" s="196" t="str">
        <f t="shared" si="9"/>
        <v>YesNewSolar</v>
      </c>
      <c r="O20" s="196" t="str">
        <f t="shared" si="10"/>
        <v>YesNewMWHSolaryes</v>
      </c>
      <c r="P20" s="196" t="str">
        <f t="shared" si="11"/>
        <v>YesNewSolaryes</v>
      </c>
      <c r="Q20" s="196" t="str">
        <f t="shared" si="12"/>
        <v>YesNewMWH</v>
      </c>
      <c r="R20" s="259" t="s">
        <v>246</v>
      </c>
      <c r="S20" s="259" t="s">
        <v>635</v>
      </c>
      <c r="T20" s="209" t="s">
        <v>618</v>
      </c>
      <c r="U20" s="259" t="s">
        <v>629</v>
      </c>
      <c r="V20" s="421">
        <v>0.054000000000000006</v>
      </c>
      <c r="W20" s="421">
        <v>0.054000000000000006</v>
      </c>
      <c r="X20" s="421"/>
      <c r="Y20" s="421"/>
      <c r="Z20" s="259" t="s">
        <v>195</v>
      </c>
      <c r="AA20" s="422"/>
    </row>
    <row r="21" spans="1:27" ht="13.5" customHeight="1">
      <c r="A21" s="196">
        <f t="shared" si="0"/>
        <v>0</v>
      </c>
      <c r="B21" s="196" t="str">
        <f t="shared" si="0"/>
        <v>Solar</v>
      </c>
      <c r="C21" s="196">
        <f t="shared" si="0"/>
        <v>0</v>
      </c>
      <c r="D21" s="196">
        <f t="shared" si="1"/>
        <v>0</v>
      </c>
      <c r="E21" s="196">
        <f t="shared" si="2"/>
        <v>0</v>
      </c>
      <c r="F21" s="196">
        <f t="shared" si="3"/>
        <v>0</v>
      </c>
      <c r="G21" s="196">
        <f t="shared" si="4"/>
        <v>0</v>
      </c>
      <c r="H21" s="196">
        <f t="shared" si="4"/>
        <v>0</v>
      </c>
      <c r="I21" s="196">
        <f t="shared" si="5"/>
        <v>0</v>
      </c>
      <c r="J21" s="196">
        <f t="shared" si="5"/>
        <v>0</v>
      </c>
      <c r="K21" s="196" t="str">
        <f t="shared" si="6"/>
        <v>Solar</v>
      </c>
      <c r="L21" s="196" t="str">
        <f t="shared" si="7"/>
        <v>Solar</v>
      </c>
      <c r="M21" s="196" t="str">
        <f t="shared" si="8"/>
        <v>YesNewMWHSolar</v>
      </c>
      <c r="N21" s="196" t="str">
        <f t="shared" si="9"/>
        <v>YesNewSolar</v>
      </c>
      <c r="O21" s="196" t="str">
        <f t="shared" si="10"/>
        <v>YesNewMWHSolaryes</v>
      </c>
      <c r="P21" s="196" t="str">
        <f t="shared" si="11"/>
        <v>YesNewSolaryes</v>
      </c>
      <c r="Q21" s="196" t="str">
        <f t="shared" si="12"/>
        <v>YesNewMWH</v>
      </c>
      <c r="R21" s="259" t="s">
        <v>246</v>
      </c>
      <c r="S21" s="259" t="s">
        <v>635</v>
      </c>
      <c r="T21" s="209" t="s">
        <v>618</v>
      </c>
      <c r="U21" s="259" t="s">
        <v>629</v>
      </c>
      <c r="V21" s="421">
        <v>0.027000000000000003</v>
      </c>
      <c r="W21" s="421">
        <v>0.027000000000000003</v>
      </c>
      <c r="X21" s="421"/>
      <c r="Y21" s="421"/>
      <c r="Z21" s="259" t="s">
        <v>195</v>
      </c>
      <c r="AA21" s="422"/>
    </row>
    <row r="22" spans="1:27" ht="13.5" customHeight="1">
      <c r="A22" s="196">
        <f t="shared" si="0"/>
        <v>0</v>
      </c>
      <c r="B22" s="196" t="str">
        <f t="shared" si="0"/>
        <v>Solar</v>
      </c>
      <c r="C22" s="196">
        <f t="shared" si="0"/>
        <v>0</v>
      </c>
      <c r="D22" s="196">
        <f t="shared" si="1"/>
        <v>0</v>
      </c>
      <c r="E22" s="196">
        <f t="shared" si="2"/>
        <v>0</v>
      </c>
      <c r="F22" s="196">
        <f t="shared" si="3"/>
        <v>0</v>
      </c>
      <c r="G22" s="196">
        <f t="shared" si="4"/>
        <v>0</v>
      </c>
      <c r="H22" s="196">
        <f t="shared" si="4"/>
        <v>0</v>
      </c>
      <c r="I22" s="196">
        <f t="shared" si="5"/>
        <v>0</v>
      </c>
      <c r="J22" s="196">
        <f t="shared" si="5"/>
        <v>0</v>
      </c>
      <c r="K22" s="196" t="str">
        <f t="shared" si="6"/>
        <v>Solar</v>
      </c>
      <c r="L22" s="196" t="str">
        <f t="shared" si="7"/>
        <v>Solar</v>
      </c>
      <c r="M22" s="196" t="str">
        <f t="shared" si="8"/>
        <v>YesNewMWHSolar</v>
      </c>
      <c r="N22" s="196" t="str">
        <f t="shared" si="9"/>
        <v>YesNewSolar</v>
      </c>
      <c r="O22" s="196" t="str">
        <f t="shared" si="10"/>
        <v>YesNewMWHSolaryes</v>
      </c>
      <c r="P22" s="196" t="str">
        <f t="shared" si="11"/>
        <v>YesNewSolaryes</v>
      </c>
      <c r="Q22" s="196" t="str">
        <f t="shared" si="12"/>
        <v>YesNewMWH</v>
      </c>
      <c r="R22" s="259" t="s">
        <v>246</v>
      </c>
      <c r="S22" s="259" t="s">
        <v>635</v>
      </c>
      <c r="T22" s="209" t="s">
        <v>618</v>
      </c>
      <c r="U22" s="259" t="s">
        <v>629</v>
      </c>
      <c r="V22" s="421">
        <v>0.045</v>
      </c>
      <c r="W22" s="421">
        <v>0.045</v>
      </c>
      <c r="X22" s="421"/>
      <c r="Y22" s="421"/>
      <c r="Z22" s="259" t="s">
        <v>195</v>
      </c>
      <c r="AA22" s="422"/>
    </row>
    <row r="23" spans="1:27" ht="13.5" customHeight="1">
      <c r="A23" s="196">
        <f t="shared" si="0"/>
        <v>0</v>
      </c>
      <c r="B23" s="196" t="str">
        <f t="shared" si="0"/>
        <v>Solar</v>
      </c>
      <c r="C23" s="196">
        <f t="shared" si="0"/>
        <v>0</v>
      </c>
      <c r="D23" s="196">
        <f t="shared" si="1"/>
        <v>0</v>
      </c>
      <c r="E23" s="196">
        <f t="shared" si="2"/>
        <v>0</v>
      </c>
      <c r="F23" s="196">
        <f t="shared" si="3"/>
        <v>0</v>
      </c>
      <c r="G23" s="196">
        <f t="shared" si="4"/>
        <v>0</v>
      </c>
      <c r="H23" s="196">
        <f t="shared" si="4"/>
        <v>0</v>
      </c>
      <c r="I23" s="196">
        <f t="shared" si="5"/>
        <v>0</v>
      </c>
      <c r="J23" s="196">
        <f t="shared" si="5"/>
        <v>0</v>
      </c>
      <c r="K23" s="196" t="str">
        <f t="shared" si="6"/>
        <v>Solar</v>
      </c>
      <c r="L23" s="196" t="str">
        <f t="shared" si="7"/>
        <v>Solar</v>
      </c>
      <c r="M23" s="196" t="str">
        <f t="shared" si="8"/>
        <v>YesNewMWHSolar</v>
      </c>
      <c r="N23" s="196" t="str">
        <f t="shared" si="9"/>
        <v>YesNewSolar</v>
      </c>
      <c r="O23" s="196" t="str">
        <f t="shared" si="10"/>
        <v>YesNewMWHSolaryes</v>
      </c>
      <c r="P23" s="196" t="str">
        <f t="shared" si="11"/>
        <v>YesNewSolaryes</v>
      </c>
      <c r="Q23" s="196" t="str">
        <f t="shared" si="12"/>
        <v>YesNewMWH</v>
      </c>
      <c r="R23" s="259" t="s">
        <v>246</v>
      </c>
      <c r="S23" s="259" t="s">
        <v>635</v>
      </c>
      <c r="T23" s="209" t="s">
        <v>618</v>
      </c>
      <c r="U23" s="259" t="s">
        <v>629</v>
      </c>
      <c r="V23" s="421">
        <v>0.054000000000000006</v>
      </c>
      <c r="W23" s="421">
        <v>0.054000000000000006</v>
      </c>
      <c r="X23" s="421"/>
      <c r="Y23" s="421"/>
      <c r="Z23" s="259" t="s">
        <v>195</v>
      </c>
      <c r="AA23" s="422"/>
    </row>
    <row r="24" spans="1:27" ht="13.5" customHeight="1">
      <c r="A24" s="196">
        <f t="shared" si="0"/>
        <v>0</v>
      </c>
      <c r="B24" s="196" t="str">
        <f t="shared" si="0"/>
        <v>Solar</v>
      </c>
      <c r="C24" s="196">
        <f t="shared" si="0"/>
        <v>0</v>
      </c>
      <c r="D24" s="196">
        <f t="shared" si="1"/>
        <v>0</v>
      </c>
      <c r="E24" s="196">
        <f t="shared" si="2"/>
        <v>0</v>
      </c>
      <c r="F24" s="196">
        <f t="shared" si="3"/>
        <v>0</v>
      </c>
      <c r="G24" s="196">
        <f t="shared" si="4"/>
        <v>0</v>
      </c>
      <c r="H24" s="196">
        <f t="shared" si="4"/>
        <v>0</v>
      </c>
      <c r="I24" s="196">
        <f t="shared" si="5"/>
        <v>0</v>
      </c>
      <c r="J24" s="196">
        <f t="shared" si="5"/>
        <v>0</v>
      </c>
      <c r="K24" s="196" t="str">
        <f t="shared" si="6"/>
        <v>Solar</v>
      </c>
      <c r="L24" s="196" t="str">
        <f t="shared" si="7"/>
        <v>Solar</v>
      </c>
      <c r="M24" s="196" t="str">
        <f t="shared" si="8"/>
        <v>YesNewMWHSolar</v>
      </c>
      <c r="N24" s="196" t="str">
        <f t="shared" si="9"/>
        <v>YesNewSolar</v>
      </c>
      <c r="O24" s="196" t="str">
        <f t="shared" si="10"/>
        <v>YesNewMWHSolaryes</v>
      </c>
      <c r="P24" s="196" t="str">
        <f t="shared" si="11"/>
        <v>YesNewSolaryes</v>
      </c>
      <c r="Q24" s="196" t="str">
        <f t="shared" si="12"/>
        <v>YesNewMWH</v>
      </c>
      <c r="R24" s="259" t="s">
        <v>246</v>
      </c>
      <c r="S24" s="259" t="s">
        <v>635</v>
      </c>
      <c r="T24" s="209" t="s">
        <v>618</v>
      </c>
      <c r="U24" s="259" t="s">
        <v>629</v>
      </c>
      <c r="V24" s="421">
        <v>0.015</v>
      </c>
      <c r="W24" s="421">
        <v>0.015</v>
      </c>
      <c r="X24" s="421"/>
      <c r="Y24" s="421"/>
      <c r="Z24" s="259" t="s">
        <v>195</v>
      </c>
      <c r="AA24" s="422"/>
    </row>
    <row r="25" spans="1:27" ht="13.5" customHeight="1">
      <c r="A25" s="196">
        <f t="shared" si="0"/>
        <v>0</v>
      </c>
      <c r="B25" s="196" t="str">
        <f t="shared" si="0"/>
        <v>Solar</v>
      </c>
      <c r="C25" s="196">
        <f t="shared" si="0"/>
        <v>0</v>
      </c>
      <c r="D25" s="196">
        <f t="shared" si="1"/>
        <v>0</v>
      </c>
      <c r="E25" s="196">
        <f t="shared" si="2"/>
        <v>0</v>
      </c>
      <c r="F25" s="196">
        <f t="shared" si="3"/>
        <v>0</v>
      </c>
      <c r="G25" s="196">
        <f t="shared" si="4"/>
        <v>0</v>
      </c>
      <c r="H25" s="196">
        <f t="shared" si="4"/>
        <v>0</v>
      </c>
      <c r="I25" s="196">
        <f t="shared" si="5"/>
        <v>0</v>
      </c>
      <c r="J25" s="196">
        <f t="shared" si="5"/>
        <v>0</v>
      </c>
      <c r="K25" s="196" t="str">
        <f t="shared" si="6"/>
        <v>Solar</v>
      </c>
      <c r="L25" s="196" t="str">
        <f t="shared" si="7"/>
        <v>Solar</v>
      </c>
      <c r="M25" s="196" t="str">
        <f t="shared" si="8"/>
        <v>YesNewMWHSolar</v>
      </c>
      <c r="N25" s="196" t="str">
        <f t="shared" si="9"/>
        <v>YesNewSolar</v>
      </c>
      <c r="O25" s="196" t="str">
        <f t="shared" si="10"/>
        <v>YesNewMWHSolaryes</v>
      </c>
      <c r="P25" s="196" t="str">
        <f t="shared" si="11"/>
        <v>YesNewSolaryes</v>
      </c>
      <c r="Q25" s="196" t="str">
        <f t="shared" si="12"/>
        <v>YesNewMWH</v>
      </c>
      <c r="R25" s="259" t="s">
        <v>246</v>
      </c>
      <c r="S25" s="259" t="s">
        <v>635</v>
      </c>
      <c r="T25" s="209" t="s">
        <v>618</v>
      </c>
      <c r="U25" s="259" t="s">
        <v>629</v>
      </c>
      <c r="V25" s="421">
        <v>0.045</v>
      </c>
      <c r="W25" s="421">
        <v>0.045</v>
      </c>
      <c r="X25" s="421"/>
      <c r="Y25" s="421"/>
      <c r="Z25" s="259" t="s">
        <v>195</v>
      </c>
      <c r="AA25" s="422"/>
    </row>
    <row r="26" spans="1:27" ht="13.5" customHeight="1">
      <c r="A26" s="196">
        <f t="shared" si="0"/>
        <v>0</v>
      </c>
      <c r="B26" s="196" t="str">
        <f t="shared" si="0"/>
        <v>Solar</v>
      </c>
      <c r="C26" s="196">
        <f t="shared" si="0"/>
        <v>0</v>
      </c>
      <c r="D26" s="196">
        <f t="shared" si="1"/>
        <v>0</v>
      </c>
      <c r="E26" s="196">
        <f t="shared" si="2"/>
        <v>0</v>
      </c>
      <c r="F26" s="196">
        <f t="shared" si="3"/>
        <v>0</v>
      </c>
      <c r="G26" s="196">
        <f t="shared" si="4"/>
        <v>0</v>
      </c>
      <c r="H26" s="196">
        <f t="shared" si="4"/>
        <v>0</v>
      </c>
      <c r="I26" s="196">
        <f t="shared" si="5"/>
        <v>0</v>
      </c>
      <c r="J26" s="196">
        <f t="shared" si="5"/>
        <v>0</v>
      </c>
      <c r="K26" s="196" t="str">
        <f t="shared" si="6"/>
        <v>Solar</v>
      </c>
      <c r="L26" s="196" t="str">
        <f t="shared" si="7"/>
        <v>Solar</v>
      </c>
      <c r="M26" s="196" t="str">
        <f t="shared" si="8"/>
        <v>YesNewMWHSolar</v>
      </c>
      <c r="N26" s="196" t="str">
        <f t="shared" si="9"/>
        <v>YesNewSolar</v>
      </c>
      <c r="O26" s="196" t="str">
        <f t="shared" si="10"/>
        <v>YesNewMWHSolaryes</v>
      </c>
      <c r="P26" s="196" t="str">
        <f t="shared" si="11"/>
        <v>YesNewSolaryes</v>
      </c>
      <c r="Q26" s="196" t="str">
        <f t="shared" si="12"/>
        <v>YesNewMWH</v>
      </c>
      <c r="R26" s="259" t="s">
        <v>246</v>
      </c>
      <c r="S26" s="259" t="s">
        <v>635</v>
      </c>
      <c r="T26" s="209" t="s">
        <v>618</v>
      </c>
      <c r="U26" s="259" t="s">
        <v>629</v>
      </c>
      <c r="V26" s="421">
        <v>0.015</v>
      </c>
      <c r="W26" s="421">
        <v>0.015</v>
      </c>
      <c r="X26" s="421"/>
      <c r="Y26" s="421"/>
      <c r="Z26" s="259" t="s">
        <v>195</v>
      </c>
      <c r="AA26" s="422"/>
    </row>
    <row r="27" spans="1:27" ht="13.5" customHeight="1">
      <c r="A27" s="196">
        <f t="shared" si="0"/>
        <v>0</v>
      </c>
      <c r="B27" s="196" t="str">
        <f t="shared" si="0"/>
        <v>Solar</v>
      </c>
      <c r="C27" s="196">
        <f t="shared" si="0"/>
        <v>0</v>
      </c>
      <c r="D27" s="196">
        <f t="shared" si="1"/>
        <v>0</v>
      </c>
      <c r="E27" s="196">
        <f t="shared" si="2"/>
        <v>0</v>
      </c>
      <c r="F27" s="196">
        <f t="shared" si="3"/>
        <v>0</v>
      </c>
      <c r="G27" s="196">
        <f t="shared" si="4"/>
        <v>0</v>
      </c>
      <c r="H27" s="196">
        <f t="shared" si="4"/>
        <v>0</v>
      </c>
      <c r="I27" s="196">
        <f t="shared" si="5"/>
        <v>0</v>
      </c>
      <c r="J27" s="196">
        <f t="shared" si="5"/>
        <v>0</v>
      </c>
      <c r="K27" s="196" t="str">
        <f t="shared" si="6"/>
        <v>Solar</v>
      </c>
      <c r="L27" s="196" t="str">
        <f t="shared" si="7"/>
        <v>Solar</v>
      </c>
      <c r="M27" s="196" t="str">
        <f t="shared" si="8"/>
        <v>YesNewMWHSolar</v>
      </c>
      <c r="N27" s="196" t="str">
        <f t="shared" si="9"/>
        <v>YesNewSolar</v>
      </c>
      <c r="O27" s="196" t="str">
        <f t="shared" si="10"/>
        <v>YesNewMWHSolaryes</v>
      </c>
      <c r="P27" s="196" t="str">
        <f t="shared" si="11"/>
        <v>YesNewSolaryes</v>
      </c>
      <c r="Q27" s="196" t="str">
        <f t="shared" si="12"/>
        <v>YesNewMWH</v>
      </c>
      <c r="R27" s="259" t="s">
        <v>246</v>
      </c>
      <c r="S27" s="259" t="s">
        <v>635</v>
      </c>
      <c r="T27" s="209" t="s">
        <v>618</v>
      </c>
      <c r="U27" s="259" t="s">
        <v>629</v>
      </c>
      <c r="V27" s="421">
        <v>0.042</v>
      </c>
      <c r="W27" s="421">
        <v>0.042</v>
      </c>
      <c r="X27" s="421"/>
      <c r="Y27" s="421"/>
      <c r="Z27" s="259" t="s">
        <v>195</v>
      </c>
      <c r="AA27" s="422"/>
    </row>
    <row r="28" spans="1:27" ht="13.5" customHeight="1">
      <c r="A28" s="196">
        <f t="shared" si="0"/>
        <v>0</v>
      </c>
      <c r="B28" s="196" t="str">
        <f t="shared" si="0"/>
        <v>Solar</v>
      </c>
      <c r="C28" s="196">
        <f t="shared" si="0"/>
        <v>0</v>
      </c>
      <c r="D28" s="196">
        <f t="shared" si="1"/>
        <v>0</v>
      </c>
      <c r="E28" s="196">
        <f t="shared" si="2"/>
        <v>0</v>
      </c>
      <c r="F28" s="196">
        <f t="shared" si="3"/>
        <v>0</v>
      </c>
      <c r="G28" s="196">
        <f t="shared" si="4"/>
        <v>0</v>
      </c>
      <c r="H28" s="196">
        <f t="shared" si="4"/>
        <v>0</v>
      </c>
      <c r="I28" s="196">
        <f t="shared" si="5"/>
        <v>0</v>
      </c>
      <c r="J28" s="196">
        <f t="shared" si="5"/>
        <v>0</v>
      </c>
      <c r="K28" s="196" t="str">
        <f t="shared" si="6"/>
        <v>Solar</v>
      </c>
      <c r="L28" s="196" t="str">
        <f t="shared" si="7"/>
        <v>Solar</v>
      </c>
      <c r="M28" s="196" t="str">
        <f t="shared" si="8"/>
        <v>YesNewMWHSolar</v>
      </c>
      <c r="N28" s="196" t="str">
        <f t="shared" si="9"/>
        <v>YesNewSolar</v>
      </c>
      <c r="O28" s="196" t="str">
        <f t="shared" si="10"/>
        <v>YesNewMWHSolaryes</v>
      </c>
      <c r="P28" s="196" t="str">
        <f t="shared" si="11"/>
        <v>YesNewSolaryes</v>
      </c>
      <c r="Q28" s="196" t="str">
        <f t="shared" si="12"/>
        <v>YesNewMWH</v>
      </c>
      <c r="R28" s="259" t="s">
        <v>246</v>
      </c>
      <c r="S28" s="259" t="s">
        <v>635</v>
      </c>
      <c r="T28" s="209" t="s">
        <v>618</v>
      </c>
      <c r="U28" s="259" t="s">
        <v>629</v>
      </c>
      <c r="V28" s="421">
        <v>0.042</v>
      </c>
      <c r="W28" s="421">
        <v>0.042</v>
      </c>
      <c r="X28" s="421"/>
      <c r="Y28" s="421"/>
      <c r="Z28" s="259" t="s">
        <v>195</v>
      </c>
      <c r="AA28" s="422"/>
    </row>
    <row r="29" spans="1:27" ht="13.5" customHeight="1">
      <c r="A29" s="196">
        <f t="shared" si="0"/>
        <v>0</v>
      </c>
      <c r="B29" s="196" t="str">
        <f t="shared" si="0"/>
        <v>Solar</v>
      </c>
      <c r="C29" s="196">
        <f t="shared" si="0"/>
        <v>0</v>
      </c>
      <c r="D29" s="196">
        <f t="shared" si="1"/>
        <v>0</v>
      </c>
      <c r="E29" s="196">
        <f t="shared" si="2"/>
        <v>0</v>
      </c>
      <c r="F29" s="196">
        <f t="shared" si="3"/>
        <v>0</v>
      </c>
      <c r="G29" s="196">
        <f t="shared" si="4"/>
        <v>0</v>
      </c>
      <c r="H29" s="196">
        <f t="shared" si="4"/>
        <v>0</v>
      </c>
      <c r="I29" s="196">
        <f t="shared" si="5"/>
        <v>0</v>
      </c>
      <c r="J29" s="196">
        <f t="shared" si="5"/>
        <v>0</v>
      </c>
      <c r="K29" s="196" t="str">
        <f t="shared" si="6"/>
        <v>Solar</v>
      </c>
      <c r="L29" s="196" t="str">
        <f t="shared" si="7"/>
        <v>Solar</v>
      </c>
      <c r="M29" s="196" t="str">
        <f t="shared" si="8"/>
        <v>YesNewMWHSolar</v>
      </c>
      <c r="N29" s="196" t="str">
        <f t="shared" si="9"/>
        <v>YesNewSolar</v>
      </c>
      <c r="O29" s="196" t="str">
        <f t="shared" si="10"/>
        <v>YesNewMWHSolaryes</v>
      </c>
      <c r="P29" s="196" t="str">
        <f t="shared" si="11"/>
        <v>YesNewSolaryes</v>
      </c>
      <c r="Q29" s="196" t="str">
        <f t="shared" si="12"/>
        <v>YesNewMWH</v>
      </c>
      <c r="R29" s="259" t="s">
        <v>246</v>
      </c>
      <c r="S29" s="259" t="s">
        <v>635</v>
      </c>
      <c r="T29" s="209" t="s">
        <v>618</v>
      </c>
      <c r="U29" s="259" t="s">
        <v>629</v>
      </c>
      <c r="V29" s="421">
        <v>0.027000000000000003</v>
      </c>
      <c r="W29" s="421">
        <v>0.027000000000000003</v>
      </c>
      <c r="X29" s="421"/>
      <c r="Y29" s="421"/>
      <c r="Z29" s="259" t="s">
        <v>195</v>
      </c>
      <c r="AA29" s="422"/>
    </row>
    <row r="30" spans="1:27" ht="13.5" customHeight="1">
      <c r="A30" s="196">
        <f t="shared" si="0"/>
        <v>0</v>
      </c>
      <c r="B30" s="196" t="str">
        <f t="shared" si="0"/>
        <v>Solar</v>
      </c>
      <c r="C30" s="196">
        <f t="shared" si="0"/>
        <v>0</v>
      </c>
      <c r="D30" s="196">
        <f t="shared" si="1"/>
        <v>0</v>
      </c>
      <c r="E30" s="196">
        <f t="shared" si="2"/>
        <v>0</v>
      </c>
      <c r="F30" s="196">
        <f t="shared" si="3"/>
        <v>0</v>
      </c>
      <c r="G30" s="196">
        <f t="shared" si="4"/>
        <v>0</v>
      </c>
      <c r="H30" s="196">
        <f t="shared" si="4"/>
        <v>0</v>
      </c>
      <c r="I30" s="196">
        <f t="shared" si="5"/>
        <v>0</v>
      </c>
      <c r="J30" s="196">
        <f t="shared" si="5"/>
        <v>0</v>
      </c>
      <c r="K30" s="196" t="str">
        <f t="shared" si="6"/>
        <v>Solar</v>
      </c>
      <c r="L30" s="196" t="str">
        <f t="shared" si="7"/>
        <v>Solar</v>
      </c>
      <c r="M30" s="196" t="str">
        <f t="shared" si="8"/>
        <v>YesNewMWHSolar</v>
      </c>
      <c r="N30" s="196" t="str">
        <f t="shared" si="9"/>
        <v>YesNewSolar</v>
      </c>
      <c r="O30" s="196" t="str">
        <f t="shared" si="10"/>
        <v>YesNewMWHSolaryes</v>
      </c>
      <c r="P30" s="196" t="str">
        <f t="shared" si="11"/>
        <v>YesNewSolaryes</v>
      </c>
      <c r="Q30" s="196" t="str">
        <f t="shared" si="12"/>
        <v>YesNewMWH</v>
      </c>
      <c r="R30" s="259" t="s">
        <v>246</v>
      </c>
      <c r="S30" s="259" t="s">
        <v>635</v>
      </c>
      <c r="T30" s="209" t="s">
        <v>618</v>
      </c>
      <c r="U30" s="259" t="s">
        <v>629</v>
      </c>
      <c r="V30" s="421">
        <v>0.042</v>
      </c>
      <c r="W30" s="421">
        <v>0.042</v>
      </c>
      <c r="X30" s="421"/>
      <c r="Y30" s="421"/>
      <c r="Z30" s="259" t="s">
        <v>195</v>
      </c>
      <c r="AA30" s="422"/>
    </row>
    <row r="31" spans="1:27" ht="13.5" customHeight="1">
      <c r="A31" s="196">
        <f t="shared" si="0"/>
        <v>0</v>
      </c>
      <c r="B31" s="196" t="str">
        <f t="shared" si="0"/>
        <v>Solar</v>
      </c>
      <c r="C31" s="196">
        <f t="shared" si="0"/>
        <v>0</v>
      </c>
      <c r="D31" s="196">
        <f t="shared" si="1"/>
        <v>0</v>
      </c>
      <c r="E31" s="196">
        <f t="shared" si="2"/>
        <v>0</v>
      </c>
      <c r="F31" s="196">
        <f t="shared" si="3"/>
        <v>0</v>
      </c>
      <c r="G31" s="196">
        <f t="shared" si="4"/>
        <v>0</v>
      </c>
      <c r="H31" s="196">
        <f t="shared" si="4"/>
        <v>0</v>
      </c>
      <c r="I31" s="196">
        <f t="shared" si="5"/>
        <v>0</v>
      </c>
      <c r="J31" s="196">
        <f t="shared" si="5"/>
        <v>0</v>
      </c>
      <c r="K31" s="196" t="str">
        <f t="shared" si="6"/>
        <v>Solar</v>
      </c>
      <c r="L31" s="196" t="str">
        <f t="shared" si="7"/>
        <v>Solar</v>
      </c>
      <c r="M31" s="196" t="str">
        <f t="shared" si="8"/>
        <v>YesNewMWHSolar</v>
      </c>
      <c r="N31" s="196" t="str">
        <f t="shared" si="9"/>
        <v>YesNewSolar</v>
      </c>
      <c r="O31" s="196" t="str">
        <f t="shared" si="10"/>
        <v>YesNewMWHSolaryes</v>
      </c>
      <c r="P31" s="196" t="str">
        <f t="shared" si="11"/>
        <v>YesNewSolaryes</v>
      </c>
      <c r="Q31" s="196" t="str">
        <f t="shared" si="12"/>
        <v>YesNewMWH</v>
      </c>
      <c r="R31" s="259" t="s">
        <v>246</v>
      </c>
      <c r="S31" s="259" t="s">
        <v>635</v>
      </c>
      <c r="T31" s="209" t="s">
        <v>618</v>
      </c>
      <c r="U31" s="259" t="s">
        <v>629</v>
      </c>
      <c r="V31" s="421">
        <v>0.054000000000000006</v>
      </c>
      <c r="W31" s="421">
        <v>0.054000000000000006</v>
      </c>
      <c r="X31" s="421"/>
      <c r="Y31" s="421"/>
      <c r="Z31" s="259" t="s">
        <v>195</v>
      </c>
      <c r="AA31" s="422"/>
    </row>
    <row r="32" spans="1:27" ht="13.5" customHeight="1">
      <c r="A32" s="196">
        <f t="shared" si="0"/>
        <v>0</v>
      </c>
      <c r="B32" s="196" t="str">
        <f t="shared" si="0"/>
        <v>Solar</v>
      </c>
      <c r="C32" s="196">
        <f t="shared" si="0"/>
        <v>0</v>
      </c>
      <c r="D32" s="196">
        <f t="shared" si="1"/>
        <v>0</v>
      </c>
      <c r="E32" s="196">
        <f t="shared" si="2"/>
        <v>0</v>
      </c>
      <c r="F32" s="196">
        <f t="shared" si="3"/>
        <v>0</v>
      </c>
      <c r="G32" s="196">
        <f t="shared" si="4"/>
        <v>0</v>
      </c>
      <c r="H32" s="196">
        <f t="shared" si="4"/>
        <v>0</v>
      </c>
      <c r="I32" s="196">
        <f t="shared" si="5"/>
        <v>0</v>
      </c>
      <c r="J32" s="196">
        <f t="shared" si="5"/>
        <v>0</v>
      </c>
      <c r="K32" s="196" t="str">
        <f t="shared" si="6"/>
        <v>Solar</v>
      </c>
      <c r="L32" s="196" t="str">
        <f t="shared" si="7"/>
        <v>Solar</v>
      </c>
      <c r="M32" s="196" t="str">
        <f t="shared" si="8"/>
        <v>YesNewMWHSolar</v>
      </c>
      <c r="N32" s="196" t="str">
        <f t="shared" si="9"/>
        <v>YesNewSolar</v>
      </c>
      <c r="O32" s="196" t="str">
        <f t="shared" si="10"/>
        <v>YesNewMWHSolaryes</v>
      </c>
      <c r="P32" s="196" t="str">
        <f t="shared" si="11"/>
        <v>YesNewSolaryes</v>
      </c>
      <c r="Q32" s="196" t="str">
        <f t="shared" si="12"/>
        <v>YesNewMWH</v>
      </c>
      <c r="R32" s="259" t="s">
        <v>246</v>
      </c>
      <c r="S32" s="259" t="s">
        <v>635</v>
      </c>
      <c r="T32" s="209" t="s">
        <v>618</v>
      </c>
      <c r="U32" s="259" t="s">
        <v>629</v>
      </c>
      <c r="V32" s="421">
        <v>0.027000000000000003</v>
      </c>
      <c r="W32" s="421">
        <v>0.027000000000000003</v>
      </c>
      <c r="X32" s="421"/>
      <c r="Y32" s="421"/>
      <c r="Z32" s="259" t="s">
        <v>195</v>
      </c>
      <c r="AA32" s="422"/>
    </row>
    <row r="33" spans="1:27" ht="13.5" customHeight="1">
      <c r="A33" s="196">
        <f t="shared" si="0"/>
        <v>0</v>
      </c>
      <c r="B33" s="196" t="str">
        <f t="shared" si="0"/>
        <v>Solar</v>
      </c>
      <c r="C33" s="196">
        <f t="shared" si="0"/>
        <v>0</v>
      </c>
      <c r="D33" s="196">
        <f t="shared" si="1"/>
        <v>0</v>
      </c>
      <c r="E33" s="196">
        <f t="shared" si="2"/>
        <v>0</v>
      </c>
      <c r="F33" s="196">
        <f t="shared" si="3"/>
        <v>0</v>
      </c>
      <c r="G33" s="196">
        <f t="shared" si="4"/>
        <v>0</v>
      </c>
      <c r="H33" s="196">
        <f t="shared" si="4"/>
        <v>0</v>
      </c>
      <c r="I33" s="196">
        <f t="shared" si="5"/>
        <v>0</v>
      </c>
      <c r="J33" s="196">
        <f t="shared" si="5"/>
        <v>0</v>
      </c>
      <c r="K33" s="196" t="str">
        <f t="shared" si="6"/>
        <v>Solar</v>
      </c>
      <c r="L33" s="196" t="str">
        <f t="shared" si="7"/>
        <v>Solar</v>
      </c>
      <c r="M33" s="196" t="str">
        <f t="shared" si="8"/>
        <v>YesNewMWHSolar</v>
      </c>
      <c r="N33" s="196" t="str">
        <f t="shared" si="9"/>
        <v>YesNewSolar</v>
      </c>
      <c r="O33" s="196" t="str">
        <f t="shared" si="10"/>
        <v>YesNewMWHSolaryes</v>
      </c>
      <c r="P33" s="196" t="str">
        <f t="shared" si="11"/>
        <v>YesNewSolaryes</v>
      </c>
      <c r="Q33" s="196" t="str">
        <f t="shared" si="12"/>
        <v>YesNewMWH</v>
      </c>
      <c r="R33" s="259" t="s">
        <v>246</v>
      </c>
      <c r="S33" s="259" t="s">
        <v>635</v>
      </c>
      <c r="T33" s="209" t="s">
        <v>618</v>
      </c>
      <c r="U33" s="259" t="s">
        <v>629</v>
      </c>
      <c r="V33" s="421">
        <v>0.027000000000000003</v>
      </c>
      <c r="W33" s="421">
        <v>0.027000000000000003</v>
      </c>
      <c r="X33" s="421"/>
      <c r="Y33" s="421"/>
      <c r="Z33" s="259" t="s">
        <v>195</v>
      </c>
      <c r="AA33" s="422"/>
    </row>
    <row r="34" spans="1:27" ht="13.5" customHeight="1">
      <c r="A34" s="196">
        <f t="shared" si="0"/>
        <v>0</v>
      </c>
      <c r="B34" s="196" t="str">
        <f t="shared" si="0"/>
        <v>Solar</v>
      </c>
      <c r="C34" s="196">
        <f t="shared" si="0"/>
        <v>0</v>
      </c>
      <c r="D34" s="196">
        <f t="shared" si="1"/>
        <v>0</v>
      </c>
      <c r="E34" s="196">
        <f t="shared" si="2"/>
        <v>0</v>
      </c>
      <c r="F34" s="196">
        <f t="shared" si="3"/>
        <v>0</v>
      </c>
      <c r="G34" s="196">
        <f t="shared" si="4"/>
        <v>0</v>
      </c>
      <c r="H34" s="196">
        <f t="shared" si="4"/>
        <v>0</v>
      </c>
      <c r="I34" s="196">
        <f t="shared" si="5"/>
        <v>0</v>
      </c>
      <c r="J34" s="196">
        <f t="shared" si="5"/>
        <v>0</v>
      </c>
      <c r="K34" s="196" t="str">
        <f t="shared" si="6"/>
        <v>Solar</v>
      </c>
      <c r="L34" s="196" t="str">
        <f t="shared" si="7"/>
        <v>Solar</v>
      </c>
      <c r="M34" s="196" t="str">
        <f t="shared" si="8"/>
        <v>YesNewMWHSolar</v>
      </c>
      <c r="N34" s="196" t="str">
        <f t="shared" si="9"/>
        <v>YesNewSolar</v>
      </c>
      <c r="O34" s="196" t="str">
        <f t="shared" si="10"/>
        <v>YesNewMWHSolaryes</v>
      </c>
      <c r="P34" s="196" t="str">
        <f t="shared" si="11"/>
        <v>YesNewSolaryes</v>
      </c>
      <c r="Q34" s="196" t="str">
        <f t="shared" si="12"/>
        <v>YesNewMWH</v>
      </c>
      <c r="R34" s="259" t="s">
        <v>246</v>
      </c>
      <c r="S34" s="259" t="s">
        <v>636</v>
      </c>
      <c r="T34" s="209">
        <v>2009</v>
      </c>
      <c r="U34" s="259" t="s">
        <v>629</v>
      </c>
      <c r="V34" s="421">
        <v>7.875</v>
      </c>
      <c r="W34" s="421">
        <f>V34*5/12</f>
        <v>3.28125</v>
      </c>
      <c r="X34" s="421"/>
      <c r="Y34" s="421"/>
      <c r="Z34" s="259" t="s">
        <v>195</v>
      </c>
      <c r="AA34" s="422"/>
    </row>
    <row r="35" spans="1:27" ht="13.5" customHeight="1">
      <c r="A35" s="196">
        <f t="shared" si="0"/>
        <v>0</v>
      </c>
      <c r="B35" s="196" t="str">
        <f t="shared" si="0"/>
        <v>Solar</v>
      </c>
      <c r="C35" s="196">
        <f t="shared" si="0"/>
        <v>0</v>
      </c>
      <c r="D35" s="196">
        <f t="shared" si="1"/>
        <v>0</v>
      </c>
      <c r="E35" s="196">
        <f t="shared" si="2"/>
        <v>0</v>
      </c>
      <c r="F35" s="196">
        <f t="shared" si="3"/>
        <v>0</v>
      </c>
      <c r="G35" s="196">
        <f t="shared" si="4"/>
        <v>0</v>
      </c>
      <c r="H35" s="196">
        <f t="shared" si="4"/>
        <v>0</v>
      </c>
      <c r="I35" s="196">
        <f t="shared" si="5"/>
        <v>0</v>
      </c>
      <c r="J35" s="196">
        <f t="shared" si="5"/>
        <v>0</v>
      </c>
      <c r="K35" s="196" t="str">
        <f t="shared" si="6"/>
        <v>Solar</v>
      </c>
      <c r="L35" s="196" t="str">
        <f t="shared" si="7"/>
        <v>Solar</v>
      </c>
      <c r="M35" s="196" t="str">
        <f t="shared" si="8"/>
        <v>YesNewMWHSolar</v>
      </c>
      <c r="N35" s="196" t="str">
        <f t="shared" si="9"/>
        <v>YesNewSolar</v>
      </c>
      <c r="O35" s="196" t="str">
        <f t="shared" si="10"/>
        <v>YesNewMWHSolaryes</v>
      </c>
      <c r="P35" s="196" t="str">
        <f t="shared" si="11"/>
        <v>YesNewSolaryes</v>
      </c>
      <c r="Q35" s="196" t="str">
        <f t="shared" si="12"/>
        <v>YesNewMWH</v>
      </c>
      <c r="R35" s="259" t="s">
        <v>246</v>
      </c>
      <c r="S35" s="259" t="s">
        <v>636</v>
      </c>
      <c r="T35" s="209">
        <v>2008</v>
      </c>
      <c r="U35" s="259" t="s">
        <v>629</v>
      </c>
      <c r="V35" s="421">
        <v>2.295</v>
      </c>
      <c r="W35" s="421">
        <v>2.295</v>
      </c>
      <c r="X35" s="421"/>
      <c r="Y35" s="421"/>
      <c r="Z35" s="259" t="s">
        <v>195</v>
      </c>
      <c r="AA35" s="422"/>
    </row>
    <row r="36" spans="1:27" ht="13.5" customHeight="1">
      <c r="A36" s="196">
        <f t="shared" si="0"/>
        <v>0</v>
      </c>
      <c r="B36" s="196" t="str">
        <f t="shared" si="0"/>
        <v>Solar</v>
      </c>
      <c r="C36" s="196">
        <f t="shared" si="0"/>
        <v>0</v>
      </c>
      <c r="D36" s="196">
        <f t="shared" si="1"/>
        <v>0</v>
      </c>
      <c r="E36" s="196">
        <f t="shared" si="2"/>
        <v>0</v>
      </c>
      <c r="F36" s="196">
        <f t="shared" si="3"/>
        <v>0</v>
      </c>
      <c r="G36" s="196">
        <f t="shared" si="4"/>
        <v>0</v>
      </c>
      <c r="H36" s="196">
        <f t="shared" si="4"/>
        <v>0</v>
      </c>
      <c r="I36" s="196">
        <f t="shared" si="5"/>
        <v>0</v>
      </c>
      <c r="J36" s="196">
        <f t="shared" si="5"/>
        <v>0</v>
      </c>
      <c r="K36" s="196" t="str">
        <f t="shared" si="6"/>
        <v>Solar</v>
      </c>
      <c r="L36" s="196" t="str">
        <f t="shared" si="7"/>
        <v>Solar</v>
      </c>
      <c r="M36" s="196" t="str">
        <f t="shared" si="8"/>
        <v>YesNewMWHSolar</v>
      </c>
      <c r="N36" s="196" t="str">
        <f t="shared" si="9"/>
        <v>YesNewSolar</v>
      </c>
      <c r="O36" s="196" t="str">
        <f t="shared" si="10"/>
        <v>YesNewMWHSolaryes</v>
      </c>
      <c r="P36" s="196" t="str">
        <f t="shared" si="11"/>
        <v>YesNewSolaryes</v>
      </c>
      <c r="Q36" s="196" t="str">
        <f t="shared" si="12"/>
        <v>YesNewMWH</v>
      </c>
      <c r="R36" s="259" t="s">
        <v>246</v>
      </c>
      <c r="S36" s="259" t="s">
        <v>636</v>
      </c>
      <c r="T36" s="209" t="s">
        <v>618</v>
      </c>
      <c r="U36" s="259" t="s">
        <v>629</v>
      </c>
      <c r="V36" s="421">
        <v>0.015</v>
      </c>
      <c r="W36" s="421">
        <v>0.015</v>
      </c>
      <c r="X36" s="421"/>
      <c r="Y36" s="421"/>
      <c r="Z36" s="259" t="s">
        <v>195</v>
      </c>
      <c r="AA36" s="422"/>
    </row>
    <row r="37" spans="1:27" ht="13.5" customHeight="1">
      <c r="A37" s="196">
        <f t="shared" si="0"/>
        <v>0</v>
      </c>
      <c r="B37" s="196" t="str">
        <f t="shared" si="0"/>
        <v>Solar</v>
      </c>
      <c r="C37" s="196">
        <f t="shared" si="0"/>
        <v>0</v>
      </c>
      <c r="D37" s="196">
        <f t="shared" si="1"/>
        <v>0</v>
      </c>
      <c r="E37" s="196">
        <f t="shared" si="2"/>
        <v>0</v>
      </c>
      <c r="F37" s="196">
        <f t="shared" si="3"/>
        <v>0</v>
      </c>
      <c r="G37" s="196">
        <f t="shared" si="4"/>
        <v>0</v>
      </c>
      <c r="H37" s="196">
        <f t="shared" si="4"/>
        <v>0</v>
      </c>
      <c r="I37" s="196">
        <f t="shared" si="5"/>
        <v>0</v>
      </c>
      <c r="J37" s="196">
        <f t="shared" si="5"/>
        <v>0</v>
      </c>
      <c r="K37" s="196" t="str">
        <f t="shared" si="6"/>
        <v>Solar</v>
      </c>
      <c r="L37" s="196" t="str">
        <f t="shared" si="7"/>
        <v>Solar</v>
      </c>
      <c r="M37" s="196" t="str">
        <f t="shared" si="8"/>
        <v>YesNewMWHSolar</v>
      </c>
      <c r="N37" s="196" t="str">
        <f t="shared" si="9"/>
        <v>YesNewSolar</v>
      </c>
      <c r="O37" s="196" t="str">
        <f t="shared" si="10"/>
        <v>YesNewMWHSolaryes</v>
      </c>
      <c r="P37" s="196" t="str">
        <f t="shared" si="11"/>
        <v>YesNewSolaryes</v>
      </c>
      <c r="Q37" s="196" t="str">
        <f t="shared" si="12"/>
        <v>YesNewMWH</v>
      </c>
      <c r="R37" s="259" t="s">
        <v>246</v>
      </c>
      <c r="S37" s="259" t="s">
        <v>636</v>
      </c>
      <c r="T37" s="209" t="s">
        <v>618</v>
      </c>
      <c r="U37" s="259" t="s">
        <v>629</v>
      </c>
      <c r="V37" s="421">
        <v>0.03</v>
      </c>
      <c r="W37" s="421">
        <v>0.03</v>
      </c>
      <c r="X37" s="421"/>
      <c r="Y37" s="421"/>
      <c r="Z37" s="259" t="s">
        <v>195</v>
      </c>
      <c r="AA37" s="422"/>
    </row>
    <row r="38" spans="1:27" ht="13.5" customHeight="1">
      <c r="A38" s="196">
        <f t="shared" si="0"/>
        <v>0</v>
      </c>
      <c r="B38" s="196" t="str">
        <f t="shared" si="0"/>
        <v>Solar</v>
      </c>
      <c r="C38" s="196">
        <f t="shared" si="0"/>
        <v>0</v>
      </c>
      <c r="D38" s="196">
        <f t="shared" si="1"/>
        <v>0</v>
      </c>
      <c r="E38" s="196">
        <f t="shared" si="2"/>
        <v>0</v>
      </c>
      <c r="F38" s="196">
        <f t="shared" si="3"/>
        <v>0</v>
      </c>
      <c r="G38" s="196">
        <f t="shared" si="4"/>
        <v>0</v>
      </c>
      <c r="H38" s="196">
        <f t="shared" si="4"/>
        <v>0</v>
      </c>
      <c r="I38" s="196">
        <f t="shared" si="5"/>
        <v>0</v>
      </c>
      <c r="J38" s="196">
        <f t="shared" si="5"/>
        <v>0</v>
      </c>
      <c r="K38" s="196" t="str">
        <f t="shared" si="6"/>
        <v>Solar</v>
      </c>
      <c r="L38" s="196" t="str">
        <f t="shared" si="7"/>
        <v>Solar</v>
      </c>
      <c r="M38" s="196" t="str">
        <f t="shared" si="8"/>
        <v>YesNewMWHSolar</v>
      </c>
      <c r="N38" s="196" t="str">
        <f t="shared" si="9"/>
        <v>YesNewSolar</v>
      </c>
      <c r="O38" s="196" t="str">
        <f t="shared" si="10"/>
        <v>YesNewMWHSolaryes</v>
      </c>
      <c r="P38" s="196" t="str">
        <f t="shared" si="11"/>
        <v>YesNewSolaryes</v>
      </c>
      <c r="Q38" s="196" t="str">
        <f t="shared" si="12"/>
        <v>YesNewMWH</v>
      </c>
      <c r="R38" s="259" t="s">
        <v>246</v>
      </c>
      <c r="S38" s="259" t="s">
        <v>636</v>
      </c>
      <c r="T38" s="209" t="s">
        <v>618</v>
      </c>
      <c r="U38" s="259" t="s">
        <v>629</v>
      </c>
      <c r="V38" s="421">
        <v>0.015</v>
      </c>
      <c r="W38" s="421">
        <v>0.015</v>
      </c>
      <c r="X38" s="421"/>
      <c r="Y38" s="421"/>
      <c r="Z38" s="259" t="s">
        <v>195</v>
      </c>
      <c r="AA38" s="422"/>
    </row>
    <row r="39" spans="1:27" ht="13.5" customHeight="1">
      <c r="A39" s="196">
        <f t="shared" si="0"/>
        <v>0</v>
      </c>
      <c r="B39" s="196" t="str">
        <f t="shared" si="0"/>
        <v>Solar</v>
      </c>
      <c r="C39" s="196">
        <f t="shared" si="0"/>
        <v>0</v>
      </c>
      <c r="D39" s="196">
        <f t="shared" si="1"/>
        <v>0</v>
      </c>
      <c r="E39" s="196">
        <f t="shared" si="2"/>
        <v>0</v>
      </c>
      <c r="F39" s="196">
        <f t="shared" si="3"/>
        <v>0</v>
      </c>
      <c r="G39" s="196">
        <f t="shared" si="4"/>
        <v>0</v>
      </c>
      <c r="H39" s="196">
        <f t="shared" si="4"/>
        <v>0</v>
      </c>
      <c r="I39" s="196">
        <f t="shared" si="5"/>
        <v>0</v>
      </c>
      <c r="J39" s="196">
        <f t="shared" si="5"/>
        <v>0</v>
      </c>
      <c r="K39" s="196" t="str">
        <f t="shared" si="6"/>
        <v>Solar</v>
      </c>
      <c r="L39" s="196" t="str">
        <f t="shared" si="7"/>
        <v>Solar</v>
      </c>
      <c r="M39" s="196" t="str">
        <f t="shared" si="8"/>
        <v>YesNewMWHSolar</v>
      </c>
      <c r="N39" s="196" t="str">
        <f t="shared" si="9"/>
        <v>YesNewSolar</v>
      </c>
      <c r="O39" s="196" t="str">
        <f t="shared" si="10"/>
        <v>YesNewMWHSolaryes</v>
      </c>
      <c r="P39" s="196" t="str">
        <f t="shared" si="11"/>
        <v>YesNewSolaryes</v>
      </c>
      <c r="Q39" s="196" t="str">
        <f t="shared" si="12"/>
        <v>YesNewMWH</v>
      </c>
      <c r="R39" s="259" t="s">
        <v>246</v>
      </c>
      <c r="S39" s="259" t="s">
        <v>636</v>
      </c>
      <c r="T39" s="209" t="s">
        <v>618</v>
      </c>
      <c r="U39" s="259" t="s">
        <v>629</v>
      </c>
      <c r="V39" s="421">
        <v>0.015</v>
      </c>
      <c r="W39" s="421">
        <v>0.015</v>
      </c>
      <c r="X39" s="421"/>
      <c r="Y39" s="421"/>
      <c r="Z39" s="259" t="s">
        <v>195</v>
      </c>
      <c r="AA39" s="422"/>
    </row>
    <row r="40" spans="1:27" ht="13.5" customHeight="1">
      <c r="A40" s="196">
        <f t="shared" si="0"/>
        <v>0</v>
      </c>
      <c r="B40" s="196" t="str">
        <f t="shared" si="0"/>
        <v>Solar</v>
      </c>
      <c r="C40" s="196">
        <f t="shared" si="0"/>
        <v>0</v>
      </c>
      <c r="D40" s="196">
        <f t="shared" si="1"/>
        <v>0</v>
      </c>
      <c r="E40" s="196">
        <f t="shared" si="2"/>
        <v>0</v>
      </c>
      <c r="F40" s="196">
        <f t="shared" si="3"/>
        <v>0</v>
      </c>
      <c r="G40" s="196">
        <f t="shared" si="4"/>
        <v>0</v>
      </c>
      <c r="H40" s="196">
        <f t="shared" si="4"/>
        <v>0</v>
      </c>
      <c r="I40" s="196">
        <f t="shared" si="5"/>
        <v>0</v>
      </c>
      <c r="J40" s="196">
        <f t="shared" si="5"/>
        <v>0</v>
      </c>
      <c r="K40" s="196" t="str">
        <f t="shared" si="6"/>
        <v>Solar</v>
      </c>
      <c r="L40" s="196" t="str">
        <f t="shared" si="7"/>
        <v>Solar</v>
      </c>
      <c r="M40" s="196" t="str">
        <f t="shared" si="8"/>
        <v>YesNewMWHSolar</v>
      </c>
      <c r="N40" s="196" t="str">
        <f t="shared" si="9"/>
        <v>YesNewSolar</v>
      </c>
      <c r="O40" s="196" t="str">
        <f t="shared" si="10"/>
        <v>YesNewMWHSolaryes</v>
      </c>
      <c r="P40" s="196" t="str">
        <f t="shared" si="11"/>
        <v>YesNewSolaryes</v>
      </c>
      <c r="Q40" s="196" t="str">
        <f t="shared" si="12"/>
        <v>YesNewMWH</v>
      </c>
      <c r="R40" s="259" t="s">
        <v>246</v>
      </c>
      <c r="S40" s="259" t="s">
        <v>619</v>
      </c>
      <c r="T40" s="209">
        <v>2008</v>
      </c>
      <c r="U40" s="259" t="s">
        <v>629</v>
      </c>
      <c r="V40" s="421">
        <v>0.03</v>
      </c>
      <c r="W40" s="421">
        <v>0.03</v>
      </c>
      <c r="X40" s="421"/>
      <c r="Y40" s="421"/>
      <c r="Z40" s="259" t="s">
        <v>195</v>
      </c>
      <c r="AA40" s="422"/>
    </row>
    <row r="41" spans="1:27" ht="13.5" customHeight="1">
      <c r="A41" s="196">
        <f t="shared" si="0"/>
        <v>0</v>
      </c>
      <c r="B41" s="196" t="str">
        <f t="shared" si="0"/>
        <v>Solar</v>
      </c>
      <c r="C41" s="196">
        <f t="shared" si="0"/>
        <v>0</v>
      </c>
      <c r="D41" s="196">
        <f t="shared" si="1"/>
        <v>0</v>
      </c>
      <c r="E41" s="196">
        <f t="shared" si="2"/>
        <v>0</v>
      </c>
      <c r="F41" s="196">
        <f t="shared" si="3"/>
        <v>0</v>
      </c>
      <c r="G41" s="196">
        <f t="shared" si="4"/>
        <v>0</v>
      </c>
      <c r="H41" s="196">
        <f t="shared" si="4"/>
        <v>0</v>
      </c>
      <c r="I41" s="196">
        <f t="shared" si="5"/>
        <v>0</v>
      </c>
      <c r="J41" s="196">
        <f t="shared" si="5"/>
        <v>0</v>
      </c>
      <c r="K41" s="196" t="str">
        <f t="shared" si="6"/>
        <v>Solar</v>
      </c>
      <c r="L41" s="196" t="str">
        <f t="shared" si="7"/>
        <v>Solar</v>
      </c>
      <c r="M41" s="196" t="str">
        <f t="shared" si="8"/>
        <v>YesNewMWHSolar</v>
      </c>
      <c r="N41" s="196" t="str">
        <f t="shared" si="9"/>
        <v>YesNewSolar</v>
      </c>
      <c r="O41" s="196" t="str">
        <f t="shared" si="10"/>
        <v>YesNewMWHSolaryes</v>
      </c>
      <c r="P41" s="196" t="str">
        <f t="shared" si="11"/>
        <v>YesNewSolaryes</v>
      </c>
      <c r="Q41" s="196" t="str">
        <f t="shared" si="12"/>
        <v>YesNewMWH</v>
      </c>
      <c r="R41" s="259" t="s">
        <v>246</v>
      </c>
      <c r="S41" s="259" t="s">
        <v>619</v>
      </c>
      <c r="T41" s="209">
        <v>2008</v>
      </c>
      <c r="U41" s="259" t="s">
        <v>629</v>
      </c>
      <c r="V41" s="421">
        <v>0.015</v>
      </c>
      <c r="W41" s="421">
        <v>0.015</v>
      </c>
      <c r="X41" s="421"/>
      <c r="Y41" s="421"/>
      <c r="Z41" s="259" t="s">
        <v>195</v>
      </c>
      <c r="AA41" s="422"/>
    </row>
    <row r="42" spans="1:27" ht="13.5" customHeight="1">
      <c r="A42" s="196">
        <f t="shared" si="0"/>
        <v>0</v>
      </c>
      <c r="B42" s="196" t="str">
        <f t="shared" si="0"/>
        <v>Solar</v>
      </c>
      <c r="C42" s="196">
        <f t="shared" si="0"/>
        <v>0</v>
      </c>
      <c r="D42" s="196">
        <f t="shared" si="1"/>
        <v>0</v>
      </c>
      <c r="E42" s="196">
        <f t="shared" si="2"/>
        <v>0</v>
      </c>
      <c r="F42" s="196">
        <f t="shared" si="3"/>
        <v>0</v>
      </c>
      <c r="G42" s="196">
        <f t="shared" si="4"/>
        <v>0</v>
      </c>
      <c r="H42" s="196">
        <f t="shared" si="4"/>
        <v>0</v>
      </c>
      <c r="I42" s="196">
        <f t="shared" si="5"/>
        <v>0</v>
      </c>
      <c r="J42" s="196">
        <f t="shared" si="5"/>
        <v>0</v>
      </c>
      <c r="K42" s="196" t="str">
        <f>IF(ISTEXT(A42),A42,IF(ISTEXT(B42),B42,IF(ISTEXT(C42),C42,IF(ISTEXT(D42),D42,IF(ISTEXT(E42),E42,IF(ISTEXT(F42),F42,IF(ISTEXT(G42),G42,0)))))))</f>
        <v>Solar</v>
      </c>
      <c r="L42" s="196" t="str">
        <f>IF(ISTEXT(H42),H42,IF(ISTEXT(I42),I42,IF(ISTEXT(J42),J42,IF(ISTEXT(K42),K42,""))))</f>
        <v>Solar</v>
      </c>
      <c r="M42" s="196" t="str">
        <f>CONCATENATE($Z42,IF($T42&gt;=1999,"New","Old"),IF($W42&gt;0,"MWH",""),$L42)</f>
        <v>YesNewMWHSolar</v>
      </c>
      <c r="N42" s="196" t="str">
        <f>CONCATENATE($Z42,IF($T42&gt;=1999,"New","Old"),IF($Y42&gt;0,"MBtu",""),$L42)</f>
        <v>YesNewSolar</v>
      </c>
      <c r="O42" s="196" t="str">
        <f>CONCATENATE($Z42,IF($T42&gt;=1999,"New","Old"),IF($W42&gt;0,"MWH",""),$L42,$U42)</f>
        <v>YesNewMWHSolaryes</v>
      </c>
      <c r="P42" s="196" t="str">
        <f>CONCATENATE($Z42,IF($T42&gt;=1999,"New","Old"),IF($Y42&gt;0,"MBtu",""),$L42,$U42)</f>
        <v>YesNewSolaryes</v>
      </c>
      <c r="Q42" s="196" t="str">
        <f>CONCATENATE($Z42,IF($T42&gt;=1999,"New","Old"),IF($W42&gt;0,"MWH",""))</f>
        <v>YesNewMWH</v>
      </c>
      <c r="R42" s="259" t="s">
        <v>246</v>
      </c>
      <c r="S42" s="259" t="s">
        <v>619</v>
      </c>
      <c r="T42" s="209">
        <v>2008</v>
      </c>
      <c r="U42" s="259" t="s">
        <v>629</v>
      </c>
      <c r="V42" s="421">
        <v>0.015</v>
      </c>
      <c r="W42" s="421">
        <v>0.015</v>
      </c>
      <c r="X42" s="421"/>
      <c r="Y42" s="421"/>
      <c r="Z42" s="259" t="s">
        <v>195</v>
      </c>
      <c r="AA42" s="422"/>
    </row>
    <row r="43" spans="1:27" ht="13.5" customHeight="1">
      <c r="A43" s="196">
        <f t="shared" si="0"/>
        <v>0</v>
      </c>
      <c r="B43" s="196" t="str">
        <f t="shared" si="0"/>
        <v>Solar</v>
      </c>
      <c r="C43" s="196">
        <f t="shared" si="0"/>
        <v>0</v>
      </c>
      <c r="D43" s="196">
        <f t="shared" si="1"/>
        <v>0</v>
      </c>
      <c r="E43" s="196">
        <f t="shared" si="2"/>
        <v>0</v>
      </c>
      <c r="F43" s="196">
        <f t="shared" si="3"/>
        <v>0</v>
      </c>
      <c r="G43" s="196">
        <f t="shared" si="4"/>
        <v>0</v>
      </c>
      <c r="H43" s="196">
        <f t="shared" si="4"/>
        <v>0</v>
      </c>
      <c r="I43" s="196">
        <f t="shared" si="5"/>
        <v>0</v>
      </c>
      <c r="J43" s="196">
        <f t="shared" si="5"/>
        <v>0</v>
      </c>
      <c r="K43" s="196" t="str">
        <f t="shared" si="6"/>
        <v>Solar</v>
      </c>
      <c r="L43" s="196" t="str">
        <f t="shared" si="7"/>
        <v>Solar</v>
      </c>
      <c r="M43" s="196" t="str">
        <f t="shared" si="8"/>
        <v>YesNewMWHSolar</v>
      </c>
      <c r="N43" s="196" t="str">
        <f t="shared" si="9"/>
        <v>YesNewSolar</v>
      </c>
      <c r="O43" s="196" t="str">
        <f t="shared" si="10"/>
        <v>YesNewMWHSolaryes</v>
      </c>
      <c r="P43" s="196" t="str">
        <f t="shared" si="11"/>
        <v>YesNewSolaryes</v>
      </c>
      <c r="Q43" s="196" t="str">
        <f t="shared" si="12"/>
        <v>YesNewMWH</v>
      </c>
      <c r="R43" s="259" t="s">
        <v>246</v>
      </c>
      <c r="S43" s="259" t="s">
        <v>619</v>
      </c>
      <c r="T43" s="209">
        <v>2009</v>
      </c>
      <c r="U43" s="259" t="s">
        <v>629</v>
      </c>
      <c r="V43" s="421">
        <v>0.015</v>
      </c>
      <c r="W43" s="421">
        <v>0.015</v>
      </c>
      <c r="X43" s="421"/>
      <c r="Y43" s="421"/>
      <c r="Z43" s="259" t="s">
        <v>195</v>
      </c>
      <c r="AA43" s="422"/>
    </row>
    <row r="44" spans="1:27" ht="13.5" customHeight="1">
      <c r="A44" s="196">
        <f t="shared" si="0"/>
        <v>0</v>
      </c>
      <c r="B44" s="196" t="str">
        <f t="shared" si="0"/>
        <v>Solar</v>
      </c>
      <c r="C44" s="196">
        <f t="shared" si="0"/>
        <v>0</v>
      </c>
      <c r="D44" s="196">
        <f t="shared" si="1"/>
        <v>0</v>
      </c>
      <c r="E44" s="196">
        <f t="shared" si="2"/>
        <v>0</v>
      </c>
      <c r="F44" s="196">
        <f t="shared" si="3"/>
        <v>0</v>
      </c>
      <c r="G44" s="196">
        <f t="shared" si="4"/>
        <v>0</v>
      </c>
      <c r="H44" s="196">
        <f t="shared" si="4"/>
        <v>0</v>
      </c>
      <c r="I44" s="196">
        <f t="shared" si="5"/>
        <v>0</v>
      </c>
      <c r="J44" s="196">
        <f t="shared" si="5"/>
        <v>0</v>
      </c>
      <c r="K44" s="196" t="str">
        <f t="shared" si="6"/>
        <v>Solar</v>
      </c>
      <c r="L44" s="196" t="str">
        <f t="shared" si="7"/>
        <v>Solar</v>
      </c>
      <c r="M44" s="196" t="str">
        <f t="shared" si="8"/>
        <v>YesNewMWHSolar</v>
      </c>
      <c r="N44" s="196" t="str">
        <f t="shared" si="9"/>
        <v>YesNewSolar</v>
      </c>
      <c r="O44" s="196" t="str">
        <f t="shared" si="10"/>
        <v>YesNewMWHSolaryes</v>
      </c>
      <c r="P44" s="196" t="str">
        <f t="shared" si="11"/>
        <v>YesNewSolaryes</v>
      </c>
      <c r="Q44" s="196" t="str">
        <f t="shared" si="12"/>
        <v>YesNewMWH</v>
      </c>
      <c r="R44" s="259" t="s">
        <v>246</v>
      </c>
      <c r="S44" s="259" t="s">
        <v>619</v>
      </c>
      <c r="T44" s="209">
        <v>2009</v>
      </c>
      <c r="U44" s="259" t="s">
        <v>629</v>
      </c>
      <c r="V44" s="421">
        <v>0.015</v>
      </c>
      <c r="W44" s="421">
        <v>0.015</v>
      </c>
      <c r="X44" s="421"/>
      <c r="Y44" s="421"/>
      <c r="Z44" s="259" t="s">
        <v>195</v>
      </c>
      <c r="AA44" s="422"/>
    </row>
    <row r="45" spans="1:27" ht="13.5" customHeight="1">
      <c r="A45" s="196">
        <f t="shared" si="0"/>
        <v>0</v>
      </c>
      <c r="B45" s="196" t="str">
        <f t="shared" si="0"/>
        <v>Solar</v>
      </c>
      <c r="C45" s="196">
        <f t="shared" si="0"/>
        <v>0</v>
      </c>
      <c r="D45" s="196">
        <f t="shared" si="1"/>
        <v>0</v>
      </c>
      <c r="E45" s="196">
        <f t="shared" si="2"/>
        <v>0</v>
      </c>
      <c r="F45" s="196">
        <f t="shared" si="3"/>
        <v>0</v>
      </c>
      <c r="G45" s="196">
        <f t="shared" si="4"/>
        <v>0</v>
      </c>
      <c r="H45" s="196">
        <f t="shared" si="4"/>
        <v>0</v>
      </c>
      <c r="I45" s="196">
        <f t="shared" si="5"/>
        <v>0</v>
      </c>
      <c r="J45" s="196">
        <f t="shared" si="5"/>
        <v>0</v>
      </c>
      <c r="K45" s="196" t="str">
        <f t="shared" si="6"/>
        <v>Solar</v>
      </c>
      <c r="L45" s="196" t="str">
        <f t="shared" si="7"/>
        <v>Solar</v>
      </c>
      <c r="M45" s="196" t="str">
        <f t="shared" si="8"/>
        <v>YesNewMWHSolar</v>
      </c>
      <c r="N45" s="196" t="str">
        <f t="shared" si="9"/>
        <v>YesNewSolar</v>
      </c>
      <c r="O45" s="196" t="str">
        <f t="shared" si="10"/>
        <v>YesNewMWHSolaryes</v>
      </c>
      <c r="P45" s="196" t="str">
        <f t="shared" si="11"/>
        <v>YesNewSolaryes</v>
      </c>
      <c r="Q45" s="196" t="str">
        <f t="shared" si="12"/>
        <v>YesNewMWH</v>
      </c>
      <c r="R45" s="259" t="s">
        <v>246</v>
      </c>
      <c r="S45" s="259" t="s">
        <v>619</v>
      </c>
      <c r="T45" s="209">
        <v>2009</v>
      </c>
      <c r="U45" s="259" t="s">
        <v>629</v>
      </c>
      <c r="V45" s="421">
        <v>0.015</v>
      </c>
      <c r="W45" s="421">
        <v>0.015</v>
      </c>
      <c r="X45" s="421"/>
      <c r="Y45" s="421"/>
      <c r="Z45" s="259" t="s">
        <v>195</v>
      </c>
      <c r="AA45" s="422"/>
    </row>
    <row r="46" spans="1:27" ht="13.5" customHeight="1">
      <c r="A46" s="196">
        <f t="shared" si="0"/>
        <v>0</v>
      </c>
      <c r="B46" s="196" t="str">
        <f t="shared" si="0"/>
        <v>Solar</v>
      </c>
      <c r="C46" s="196">
        <f t="shared" si="0"/>
        <v>0</v>
      </c>
      <c r="D46" s="196">
        <f t="shared" si="1"/>
        <v>0</v>
      </c>
      <c r="E46" s="196">
        <f t="shared" si="2"/>
        <v>0</v>
      </c>
      <c r="F46" s="196">
        <f t="shared" si="3"/>
        <v>0</v>
      </c>
      <c r="G46" s="196">
        <f t="shared" si="4"/>
        <v>0</v>
      </c>
      <c r="H46" s="196">
        <f t="shared" si="4"/>
        <v>0</v>
      </c>
      <c r="I46" s="196">
        <f t="shared" si="5"/>
        <v>0</v>
      </c>
      <c r="J46" s="196">
        <f t="shared" si="5"/>
        <v>0</v>
      </c>
      <c r="K46" s="196" t="str">
        <f t="shared" si="6"/>
        <v>Solar</v>
      </c>
      <c r="L46" s="196" t="str">
        <f t="shared" si="7"/>
        <v>Solar</v>
      </c>
      <c r="M46" s="196" t="str">
        <f t="shared" si="8"/>
        <v>YesNewMWHSolar</v>
      </c>
      <c r="N46" s="196" t="str">
        <f t="shared" si="9"/>
        <v>YesNewSolar</v>
      </c>
      <c r="O46" s="196" t="str">
        <f t="shared" si="10"/>
        <v>YesNewMWHSolaryes</v>
      </c>
      <c r="P46" s="196" t="str">
        <f t="shared" si="11"/>
        <v>YesNewSolaryes</v>
      </c>
      <c r="Q46" s="196" t="str">
        <f t="shared" si="12"/>
        <v>YesNewMWH</v>
      </c>
      <c r="R46" s="259" t="s">
        <v>246</v>
      </c>
      <c r="S46" s="259" t="s">
        <v>619</v>
      </c>
      <c r="T46" s="209">
        <v>2009</v>
      </c>
      <c r="U46" s="259" t="s">
        <v>629</v>
      </c>
      <c r="V46" s="421">
        <v>0.015</v>
      </c>
      <c r="W46" s="421">
        <v>0.015</v>
      </c>
      <c r="X46" s="421"/>
      <c r="Y46" s="421"/>
      <c r="Z46" s="259" t="s">
        <v>195</v>
      </c>
      <c r="AA46" s="422"/>
    </row>
    <row r="47" spans="1:27" ht="13.5" customHeight="1">
      <c r="A47" s="196">
        <f t="shared" si="0"/>
        <v>0</v>
      </c>
      <c r="B47" s="196" t="str">
        <f t="shared" si="0"/>
        <v>Solar</v>
      </c>
      <c r="C47" s="196">
        <f t="shared" si="0"/>
        <v>0</v>
      </c>
      <c r="D47" s="196">
        <f t="shared" si="1"/>
        <v>0</v>
      </c>
      <c r="E47" s="196">
        <f t="shared" si="2"/>
        <v>0</v>
      </c>
      <c r="F47" s="196">
        <f t="shared" si="3"/>
        <v>0</v>
      </c>
      <c r="G47" s="196">
        <f t="shared" si="4"/>
        <v>0</v>
      </c>
      <c r="H47" s="196">
        <f t="shared" si="4"/>
        <v>0</v>
      </c>
      <c r="I47" s="196">
        <f t="shared" si="5"/>
        <v>0</v>
      </c>
      <c r="J47" s="196">
        <f t="shared" si="5"/>
        <v>0</v>
      </c>
      <c r="K47" s="196" t="str">
        <f t="shared" si="6"/>
        <v>Solar</v>
      </c>
      <c r="L47" s="196" t="str">
        <f t="shared" si="7"/>
        <v>Solar</v>
      </c>
      <c r="M47" s="196" t="str">
        <f t="shared" si="8"/>
        <v>YesNewMWHSolar</v>
      </c>
      <c r="N47" s="196" t="str">
        <f t="shared" si="9"/>
        <v>YesNewSolar</v>
      </c>
      <c r="O47" s="196" t="str">
        <f t="shared" si="10"/>
        <v>YesNewMWHSolaryes</v>
      </c>
      <c r="P47" s="196" t="str">
        <f t="shared" si="11"/>
        <v>YesNewSolaryes</v>
      </c>
      <c r="Q47" s="196" t="str">
        <f t="shared" si="12"/>
        <v>YesNewMWH</v>
      </c>
      <c r="R47" s="259" t="s">
        <v>246</v>
      </c>
      <c r="S47" s="259" t="s">
        <v>619</v>
      </c>
      <c r="T47" s="209">
        <v>2009</v>
      </c>
      <c r="U47" s="259" t="s">
        <v>629</v>
      </c>
      <c r="V47" s="421">
        <v>0.015</v>
      </c>
      <c r="W47" s="421">
        <v>0.015</v>
      </c>
      <c r="X47" s="421"/>
      <c r="Y47" s="421"/>
      <c r="Z47" s="259" t="s">
        <v>195</v>
      </c>
      <c r="AA47" s="422"/>
    </row>
    <row r="48" spans="1:27" ht="13.5" customHeight="1">
      <c r="A48" s="196">
        <f t="shared" si="0"/>
        <v>0</v>
      </c>
      <c r="B48" s="196" t="str">
        <f t="shared" si="0"/>
        <v>Solar</v>
      </c>
      <c r="C48" s="196">
        <f t="shared" si="0"/>
        <v>0</v>
      </c>
      <c r="D48" s="196">
        <f t="shared" si="1"/>
        <v>0</v>
      </c>
      <c r="E48" s="196">
        <f t="shared" si="2"/>
        <v>0</v>
      </c>
      <c r="F48" s="196">
        <f t="shared" si="3"/>
        <v>0</v>
      </c>
      <c r="G48" s="196">
        <f t="shared" si="4"/>
        <v>0</v>
      </c>
      <c r="H48" s="196">
        <f t="shared" si="4"/>
        <v>0</v>
      </c>
      <c r="I48" s="196">
        <f t="shared" si="5"/>
        <v>0</v>
      </c>
      <c r="J48" s="196">
        <f t="shared" si="5"/>
        <v>0</v>
      </c>
      <c r="K48" s="196" t="str">
        <f t="shared" si="6"/>
        <v>Solar</v>
      </c>
      <c r="L48" s="196" t="str">
        <f t="shared" si="7"/>
        <v>Solar</v>
      </c>
      <c r="M48" s="196" t="str">
        <f t="shared" si="8"/>
        <v>YesNewMWHSolar</v>
      </c>
      <c r="N48" s="196" t="str">
        <f t="shared" si="9"/>
        <v>YesNewSolar</v>
      </c>
      <c r="O48" s="196" t="str">
        <f t="shared" si="10"/>
        <v>YesNewMWHSolaryes</v>
      </c>
      <c r="P48" s="196" t="str">
        <f t="shared" si="11"/>
        <v>YesNewSolaryes</v>
      </c>
      <c r="Q48" s="196" t="str">
        <f t="shared" si="12"/>
        <v>YesNewMWH</v>
      </c>
      <c r="R48" s="259" t="s">
        <v>246</v>
      </c>
      <c r="S48" s="259" t="s">
        <v>620</v>
      </c>
      <c r="T48" s="209">
        <v>2007</v>
      </c>
      <c r="U48" s="259" t="s">
        <v>629</v>
      </c>
      <c r="V48" s="421">
        <v>0.015</v>
      </c>
      <c r="W48" s="421">
        <v>0.015</v>
      </c>
      <c r="X48" s="421"/>
      <c r="Y48" s="421"/>
      <c r="Z48" s="259" t="s">
        <v>195</v>
      </c>
      <c r="AA48" s="422"/>
    </row>
    <row r="49" spans="1:27" ht="13.5" customHeight="1">
      <c r="A49" s="196">
        <f t="shared" si="0"/>
        <v>0</v>
      </c>
      <c r="B49" s="196" t="str">
        <f t="shared" si="0"/>
        <v>Solar</v>
      </c>
      <c r="C49" s="196">
        <f t="shared" si="0"/>
        <v>0</v>
      </c>
      <c r="D49" s="196">
        <f t="shared" si="1"/>
        <v>0</v>
      </c>
      <c r="E49" s="196">
        <f t="shared" si="2"/>
        <v>0</v>
      </c>
      <c r="F49" s="196">
        <f t="shared" si="3"/>
        <v>0</v>
      </c>
      <c r="G49" s="196">
        <f t="shared" si="4"/>
        <v>0</v>
      </c>
      <c r="H49" s="196">
        <f t="shared" si="4"/>
        <v>0</v>
      </c>
      <c r="I49" s="196">
        <f t="shared" si="5"/>
        <v>0</v>
      </c>
      <c r="J49" s="196">
        <f t="shared" si="5"/>
        <v>0</v>
      </c>
      <c r="K49" s="196" t="str">
        <f t="shared" si="6"/>
        <v>Solar</v>
      </c>
      <c r="L49" s="196" t="str">
        <f t="shared" si="7"/>
        <v>Solar</v>
      </c>
      <c r="M49" s="196" t="str">
        <f t="shared" si="8"/>
        <v>YesNewMWHSolar</v>
      </c>
      <c r="N49" s="196" t="str">
        <f t="shared" si="9"/>
        <v>YesNewSolar</v>
      </c>
      <c r="O49" s="196" t="str">
        <f t="shared" si="10"/>
        <v>YesNewMWHSolaryes</v>
      </c>
      <c r="P49" s="196" t="str">
        <f t="shared" si="11"/>
        <v>YesNewSolaryes</v>
      </c>
      <c r="Q49" s="196" t="str">
        <f t="shared" si="12"/>
        <v>YesNewMWH</v>
      </c>
      <c r="R49" s="259" t="s">
        <v>246</v>
      </c>
      <c r="S49" s="259" t="s">
        <v>620</v>
      </c>
      <c r="T49" s="209">
        <v>2007</v>
      </c>
      <c r="U49" s="259" t="s">
        <v>629</v>
      </c>
      <c r="V49" s="421">
        <v>0.015</v>
      </c>
      <c r="W49" s="421">
        <v>0.015</v>
      </c>
      <c r="X49" s="421"/>
      <c r="Y49" s="421"/>
      <c r="Z49" s="259" t="s">
        <v>195</v>
      </c>
      <c r="AA49" s="422"/>
    </row>
    <row r="50" spans="1:27" ht="13.5" customHeight="1">
      <c r="A50" s="196">
        <f t="shared" si="0"/>
        <v>0</v>
      </c>
      <c r="B50" s="196" t="str">
        <f t="shared" si="0"/>
        <v>Solar</v>
      </c>
      <c r="C50" s="196">
        <f t="shared" si="0"/>
        <v>0</v>
      </c>
      <c r="D50" s="196">
        <f t="shared" si="1"/>
        <v>0</v>
      </c>
      <c r="E50" s="196">
        <f t="shared" si="2"/>
        <v>0</v>
      </c>
      <c r="F50" s="196">
        <f t="shared" si="3"/>
        <v>0</v>
      </c>
      <c r="G50" s="196">
        <f t="shared" si="4"/>
        <v>0</v>
      </c>
      <c r="H50" s="196">
        <f t="shared" si="4"/>
        <v>0</v>
      </c>
      <c r="I50" s="196">
        <f t="shared" si="5"/>
        <v>0</v>
      </c>
      <c r="J50" s="196">
        <f t="shared" si="5"/>
        <v>0</v>
      </c>
      <c r="K50" s="196" t="str">
        <f t="shared" si="6"/>
        <v>Solar</v>
      </c>
      <c r="L50" s="196" t="str">
        <f t="shared" si="7"/>
        <v>Solar</v>
      </c>
      <c r="M50" s="196" t="str">
        <f t="shared" si="8"/>
        <v>YesNewMWHSolar</v>
      </c>
      <c r="N50" s="196" t="str">
        <f t="shared" si="9"/>
        <v>YesNewSolar</v>
      </c>
      <c r="O50" s="196" t="str">
        <f t="shared" si="10"/>
        <v>YesNewMWHSolaryes</v>
      </c>
      <c r="P50" s="196" t="str">
        <f t="shared" si="11"/>
        <v>YesNewSolaryes</v>
      </c>
      <c r="Q50" s="196" t="str">
        <f t="shared" si="12"/>
        <v>YesNewMWH</v>
      </c>
      <c r="R50" s="259" t="s">
        <v>246</v>
      </c>
      <c r="S50" s="259" t="s">
        <v>621</v>
      </c>
      <c r="T50" s="209">
        <v>2008</v>
      </c>
      <c r="U50" s="259" t="s">
        <v>629</v>
      </c>
      <c r="V50" s="421">
        <v>0.015</v>
      </c>
      <c r="W50" s="421">
        <v>0.015</v>
      </c>
      <c r="X50" s="421"/>
      <c r="Y50" s="421"/>
      <c r="Z50" s="259" t="s">
        <v>195</v>
      </c>
      <c r="AA50" s="422"/>
    </row>
    <row r="51" spans="1:27" ht="13.5" customHeight="1">
      <c r="A51" s="196">
        <f t="shared" si="0"/>
        <v>0</v>
      </c>
      <c r="B51" s="196" t="str">
        <f t="shared" si="0"/>
        <v>Solar</v>
      </c>
      <c r="C51" s="196">
        <f t="shared" si="0"/>
        <v>0</v>
      </c>
      <c r="D51" s="196">
        <f t="shared" si="1"/>
        <v>0</v>
      </c>
      <c r="E51" s="196">
        <f t="shared" si="2"/>
        <v>0</v>
      </c>
      <c r="F51" s="196">
        <f t="shared" si="3"/>
        <v>0</v>
      </c>
      <c r="G51" s="196">
        <f t="shared" si="4"/>
        <v>0</v>
      </c>
      <c r="H51" s="196">
        <f t="shared" si="4"/>
        <v>0</v>
      </c>
      <c r="I51" s="196">
        <f t="shared" si="5"/>
        <v>0</v>
      </c>
      <c r="J51" s="196">
        <f t="shared" si="5"/>
        <v>0</v>
      </c>
      <c r="K51" s="196" t="str">
        <f t="shared" si="6"/>
        <v>Solar</v>
      </c>
      <c r="L51" s="196" t="str">
        <f t="shared" si="7"/>
        <v>Solar</v>
      </c>
      <c r="M51" s="196" t="str">
        <f t="shared" si="8"/>
        <v>YesNewMWHSolar</v>
      </c>
      <c r="N51" s="196" t="str">
        <f t="shared" si="9"/>
        <v>YesNewSolar</v>
      </c>
      <c r="O51" s="196" t="str">
        <f t="shared" si="10"/>
        <v>YesNewMWHSolaryes</v>
      </c>
      <c r="P51" s="196" t="str">
        <f t="shared" si="11"/>
        <v>YesNewSolaryes</v>
      </c>
      <c r="Q51" s="196" t="str">
        <f t="shared" si="12"/>
        <v>YesNewMWH</v>
      </c>
      <c r="R51" s="259" t="s">
        <v>246</v>
      </c>
      <c r="S51" s="259" t="s">
        <v>622</v>
      </c>
      <c r="T51" s="209">
        <v>2007</v>
      </c>
      <c r="U51" s="259" t="s">
        <v>629</v>
      </c>
      <c r="V51" s="421">
        <v>0.015</v>
      </c>
      <c r="W51" s="421">
        <v>0.015</v>
      </c>
      <c r="X51" s="421"/>
      <c r="Y51" s="421"/>
      <c r="Z51" s="259" t="s">
        <v>195</v>
      </c>
      <c r="AA51" s="422"/>
    </row>
    <row r="52" spans="1:27" ht="13.5" customHeight="1">
      <c r="A52" s="196">
        <f t="shared" si="0"/>
        <v>0</v>
      </c>
      <c r="B52" s="196" t="str">
        <f t="shared" si="0"/>
        <v>Solar</v>
      </c>
      <c r="C52" s="196">
        <f t="shared" si="0"/>
        <v>0</v>
      </c>
      <c r="D52" s="196">
        <f t="shared" si="1"/>
        <v>0</v>
      </c>
      <c r="E52" s="196">
        <f t="shared" si="2"/>
        <v>0</v>
      </c>
      <c r="F52" s="196">
        <f t="shared" si="3"/>
        <v>0</v>
      </c>
      <c r="G52" s="196">
        <f t="shared" si="4"/>
        <v>0</v>
      </c>
      <c r="H52" s="196">
        <f t="shared" si="4"/>
        <v>0</v>
      </c>
      <c r="I52" s="196">
        <f t="shared" si="5"/>
        <v>0</v>
      </c>
      <c r="J52" s="196">
        <f t="shared" si="5"/>
        <v>0</v>
      </c>
      <c r="K52" s="196" t="str">
        <f t="shared" si="6"/>
        <v>Solar</v>
      </c>
      <c r="L52" s="196" t="str">
        <f t="shared" si="7"/>
        <v>Solar</v>
      </c>
      <c r="M52" s="196" t="str">
        <f t="shared" si="8"/>
        <v>YesNewMWHSolar</v>
      </c>
      <c r="N52" s="196" t="str">
        <f t="shared" si="9"/>
        <v>YesNewSolar</v>
      </c>
      <c r="O52" s="196" t="str">
        <f t="shared" si="10"/>
        <v>YesNewMWHSolaryes</v>
      </c>
      <c r="P52" s="196" t="str">
        <f t="shared" si="11"/>
        <v>YesNewSolaryes</v>
      </c>
      <c r="Q52" s="196" t="str">
        <f t="shared" si="12"/>
        <v>YesNewMWH</v>
      </c>
      <c r="R52" s="259" t="s">
        <v>246</v>
      </c>
      <c r="S52" s="259" t="s">
        <v>622</v>
      </c>
      <c r="T52" s="209">
        <v>2007</v>
      </c>
      <c r="U52" s="259" t="s">
        <v>629</v>
      </c>
      <c r="V52" s="421">
        <v>0.015</v>
      </c>
      <c r="W52" s="421">
        <v>0.015</v>
      </c>
      <c r="X52" s="421"/>
      <c r="Y52" s="421"/>
      <c r="Z52" s="259" t="s">
        <v>195</v>
      </c>
      <c r="AA52" s="422"/>
    </row>
    <row r="53" spans="1:27" ht="13.5" customHeight="1">
      <c r="A53" s="196">
        <f t="shared" si="0"/>
        <v>0</v>
      </c>
      <c r="B53" s="196" t="str">
        <f t="shared" si="0"/>
        <v>Solar</v>
      </c>
      <c r="C53" s="196">
        <f t="shared" si="0"/>
        <v>0</v>
      </c>
      <c r="D53" s="196">
        <f t="shared" si="1"/>
        <v>0</v>
      </c>
      <c r="E53" s="196">
        <f t="shared" si="2"/>
        <v>0</v>
      </c>
      <c r="F53" s="196">
        <f t="shared" si="3"/>
        <v>0</v>
      </c>
      <c r="G53" s="196">
        <f t="shared" si="4"/>
        <v>0</v>
      </c>
      <c r="H53" s="196">
        <f t="shared" si="4"/>
        <v>0</v>
      </c>
      <c r="I53" s="196">
        <f t="shared" si="5"/>
        <v>0</v>
      </c>
      <c r="J53" s="196">
        <f t="shared" si="5"/>
        <v>0</v>
      </c>
      <c r="K53" s="196" t="str">
        <f t="shared" si="6"/>
        <v>Solar</v>
      </c>
      <c r="L53" s="196" t="str">
        <f t="shared" si="7"/>
        <v>Solar</v>
      </c>
      <c r="M53" s="196" t="str">
        <f t="shared" si="8"/>
        <v>YesNewMWHSolar</v>
      </c>
      <c r="N53" s="196" t="str">
        <f t="shared" si="9"/>
        <v>YesNewSolar</v>
      </c>
      <c r="O53" s="196" t="str">
        <f t="shared" si="10"/>
        <v>YesNewMWHSolaryes</v>
      </c>
      <c r="P53" s="196" t="str">
        <f t="shared" si="11"/>
        <v>YesNewSolaryes</v>
      </c>
      <c r="Q53" s="196" t="str">
        <f t="shared" si="12"/>
        <v>YesNewMWH</v>
      </c>
      <c r="R53" s="259" t="s">
        <v>246</v>
      </c>
      <c r="S53" s="259" t="s">
        <v>622</v>
      </c>
      <c r="T53" s="209">
        <v>2007</v>
      </c>
      <c r="U53" s="259" t="s">
        <v>629</v>
      </c>
      <c r="V53" s="421">
        <v>0.015</v>
      </c>
      <c r="W53" s="421">
        <v>0.015</v>
      </c>
      <c r="X53" s="421"/>
      <c r="Y53" s="421"/>
      <c r="Z53" s="259" t="s">
        <v>195</v>
      </c>
      <c r="AA53" s="422"/>
    </row>
    <row r="54" spans="1:27" ht="13.5" customHeight="1">
      <c r="A54" s="196">
        <f t="shared" si="0"/>
        <v>0</v>
      </c>
      <c r="B54" s="196" t="str">
        <f t="shared" si="0"/>
        <v>Solar</v>
      </c>
      <c r="C54" s="196">
        <f t="shared" si="0"/>
        <v>0</v>
      </c>
      <c r="D54" s="196">
        <f t="shared" si="1"/>
        <v>0</v>
      </c>
      <c r="E54" s="196">
        <f t="shared" si="2"/>
        <v>0</v>
      </c>
      <c r="F54" s="196">
        <f t="shared" si="3"/>
        <v>0</v>
      </c>
      <c r="G54" s="196">
        <f t="shared" si="4"/>
        <v>0</v>
      </c>
      <c r="H54" s="196">
        <f t="shared" si="4"/>
        <v>0</v>
      </c>
      <c r="I54" s="196">
        <f t="shared" si="5"/>
        <v>0</v>
      </c>
      <c r="J54" s="196">
        <f t="shared" si="5"/>
        <v>0</v>
      </c>
      <c r="K54" s="196" t="str">
        <f t="shared" si="6"/>
        <v>Solar</v>
      </c>
      <c r="L54" s="196" t="str">
        <f t="shared" si="7"/>
        <v>Solar</v>
      </c>
      <c r="M54" s="196" t="str">
        <f t="shared" si="8"/>
        <v>YesNewMWHSolar</v>
      </c>
      <c r="N54" s="196" t="str">
        <f t="shared" si="9"/>
        <v>YesNewSolar</v>
      </c>
      <c r="O54" s="196" t="str">
        <f t="shared" si="10"/>
        <v>YesNewMWHSolaryes</v>
      </c>
      <c r="P54" s="196" t="str">
        <f t="shared" si="11"/>
        <v>YesNewSolaryes</v>
      </c>
      <c r="Q54" s="196" t="str">
        <f t="shared" si="12"/>
        <v>YesNewMWH</v>
      </c>
      <c r="R54" s="259" t="s">
        <v>246</v>
      </c>
      <c r="S54" s="259" t="s">
        <v>622</v>
      </c>
      <c r="T54" s="209">
        <v>2007</v>
      </c>
      <c r="U54" s="259" t="s">
        <v>629</v>
      </c>
      <c r="V54" s="421">
        <v>0.015</v>
      </c>
      <c r="W54" s="421">
        <v>0.015</v>
      </c>
      <c r="X54" s="421"/>
      <c r="Y54" s="421"/>
      <c r="Z54" s="259" t="s">
        <v>195</v>
      </c>
      <c r="AA54" s="422"/>
    </row>
    <row r="55" spans="1:27" ht="13.5" customHeight="1">
      <c r="A55" s="196">
        <f t="shared" si="0"/>
        <v>0</v>
      </c>
      <c r="B55" s="196" t="str">
        <f t="shared" si="0"/>
        <v>Solar</v>
      </c>
      <c r="C55" s="196">
        <f t="shared" si="0"/>
        <v>0</v>
      </c>
      <c r="D55" s="196">
        <f t="shared" si="1"/>
        <v>0</v>
      </c>
      <c r="E55" s="196">
        <f t="shared" si="2"/>
        <v>0</v>
      </c>
      <c r="F55" s="196">
        <f t="shared" si="3"/>
        <v>0</v>
      </c>
      <c r="G55" s="196">
        <f t="shared" si="4"/>
        <v>0</v>
      </c>
      <c r="H55" s="196">
        <f t="shared" si="4"/>
        <v>0</v>
      </c>
      <c r="I55" s="196">
        <f t="shared" si="5"/>
        <v>0</v>
      </c>
      <c r="J55" s="196">
        <f t="shared" si="5"/>
        <v>0</v>
      </c>
      <c r="K55" s="196" t="str">
        <f t="shared" si="6"/>
        <v>Solar</v>
      </c>
      <c r="L55" s="196" t="str">
        <f t="shared" si="7"/>
        <v>Solar</v>
      </c>
      <c r="M55" s="196" t="str">
        <f t="shared" si="8"/>
        <v>YesNewMWHSolar</v>
      </c>
      <c r="N55" s="196" t="str">
        <f t="shared" si="9"/>
        <v>YesNewSolar</v>
      </c>
      <c r="O55" s="196" t="str">
        <f t="shared" si="10"/>
        <v>YesNewMWHSolaryes</v>
      </c>
      <c r="P55" s="196" t="str">
        <f t="shared" si="11"/>
        <v>YesNewSolaryes</v>
      </c>
      <c r="Q55" s="196" t="str">
        <f t="shared" si="12"/>
        <v>YesNewMWH</v>
      </c>
      <c r="R55" s="259" t="s">
        <v>246</v>
      </c>
      <c r="S55" s="259" t="s">
        <v>622</v>
      </c>
      <c r="T55" s="209">
        <v>2007</v>
      </c>
      <c r="U55" s="259" t="s">
        <v>629</v>
      </c>
      <c r="V55" s="421">
        <v>0.015</v>
      </c>
      <c r="W55" s="421">
        <v>0.015</v>
      </c>
      <c r="X55" s="421"/>
      <c r="Y55" s="421"/>
      <c r="Z55" s="259" t="s">
        <v>195</v>
      </c>
      <c r="AA55" s="422"/>
    </row>
    <row r="56" spans="1:27" ht="13.5" customHeight="1">
      <c r="A56" s="196">
        <f t="shared" si="0"/>
        <v>0</v>
      </c>
      <c r="B56" s="196" t="str">
        <f t="shared" si="0"/>
        <v>Solar</v>
      </c>
      <c r="C56" s="196">
        <f t="shared" si="0"/>
        <v>0</v>
      </c>
      <c r="D56" s="196">
        <f t="shared" si="1"/>
        <v>0</v>
      </c>
      <c r="E56" s="196">
        <f t="shared" si="2"/>
        <v>0</v>
      </c>
      <c r="F56" s="196">
        <f t="shared" si="3"/>
        <v>0</v>
      </c>
      <c r="G56" s="196">
        <f t="shared" si="4"/>
        <v>0</v>
      </c>
      <c r="H56" s="196">
        <f t="shared" si="4"/>
        <v>0</v>
      </c>
      <c r="I56" s="196">
        <f t="shared" si="5"/>
        <v>0</v>
      </c>
      <c r="J56" s="196">
        <f t="shared" si="5"/>
        <v>0</v>
      </c>
      <c r="K56" s="196" t="str">
        <f t="shared" si="6"/>
        <v>Solar</v>
      </c>
      <c r="L56" s="196" t="str">
        <f t="shared" si="7"/>
        <v>Solar</v>
      </c>
      <c r="M56" s="196" t="str">
        <f t="shared" si="8"/>
        <v>YesNewMWHSolar</v>
      </c>
      <c r="N56" s="196" t="str">
        <f t="shared" si="9"/>
        <v>YesNewSolar</v>
      </c>
      <c r="O56" s="196" t="str">
        <f t="shared" si="10"/>
        <v>YesNewMWHSolaryes</v>
      </c>
      <c r="P56" s="196" t="str">
        <f t="shared" si="11"/>
        <v>YesNewSolaryes</v>
      </c>
      <c r="Q56" s="196" t="str">
        <f t="shared" si="12"/>
        <v>YesNewMWH</v>
      </c>
      <c r="R56" s="259" t="s">
        <v>246</v>
      </c>
      <c r="S56" s="259" t="s">
        <v>622</v>
      </c>
      <c r="T56" s="209">
        <v>2007</v>
      </c>
      <c r="U56" s="259" t="s">
        <v>629</v>
      </c>
      <c r="V56" s="421">
        <v>0.015</v>
      </c>
      <c r="W56" s="421">
        <v>0.015</v>
      </c>
      <c r="X56" s="421"/>
      <c r="Y56" s="421"/>
      <c r="Z56" s="259" t="s">
        <v>195</v>
      </c>
      <c r="AA56" s="422"/>
    </row>
    <row r="57" spans="1:27" ht="13.5" customHeight="1">
      <c r="A57" s="196">
        <f t="shared" si="0"/>
        <v>0</v>
      </c>
      <c r="B57" s="196" t="str">
        <f t="shared" si="0"/>
        <v>Solar</v>
      </c>
      <c r="C57" s="196">
        <f t="shared" si="0"/>
        <v>0</v>
      </c>
      <c r="D57" s="196">
        <f t="shared" si="1"/>
        <v>0</v>
      </c>
      <c r="E57" s="196">
        <f t="shared" si="2"/>
        <v>0</v>
      </c>
      <c r="F57" s="196">
        <f t="shared" si="3"/>
        <v>0</v>
      </c>
      <c r="G57" s="196">
        <f t="shared" si="4"/>
        <v>0</v>
      </c>
      <c r="H57" s="196">
        <f t="shared" si="4"/>
        <v>0</v>
      </c>
      <c r="I57" s="196">
        <f t="shared" si="5"/>
        <v>0</v>
      </c>
      <c r="J57" s="196">
        <f t="shared" si="5"/>
        <v>0</v>
      </c>
      <c r="K57" s="196" t="str">
        <f t="shared" si="6"/>
        <v>Solar</v>
      </c>
      <c r="L57" s="196" t="str">
        <f t="shared" si="7"/>
        <v>Solar</v>
      </c>
      <c r="M57" s="196" t="str">
        <f t="shared" si="8"/>
        <v>YesNewMWHSolar</v>
      </c>
      <c r="N57" s="196" t="str">
        <f t="shared" si="9"/>
        <v>YesNewSolar</v>
      </c>
      <c r="O57" s="196" t="str">
        <f t="shared" si="10"/>
        <v>YesNewMWHSolaryes</v>
      </c>
      <c r="P57" s="196" t="str">
        <f t="shared" si="11"/>
        <v>YesNewSolaryes</v>
      </c>
      <c r="Q57" s="196" t="str">
        <f t="shared" si="12"/>
        <v>YesNewMWH</v>
      </c>
      <c r="R57" s="259" t="s">
        <v>246</v>
      </c>
      <c r="S57" s="259" t="s">
        <v>622</v>
      </c>
      <c r="T57" s="209">
        <v>2007</v>
      </c>
      <c r="U57" s="259" t="s">
        <v>629</v>
      </c>
      <c r="V57" s="421">
        <v>0.015</v>
      </c>
      <c r="W57" s="421">
        <v>0.015</v>
      </c>
      <c r="X57" s="421"/>
      <c r="Y57" s="421"/>
      <c r="Z57" s="259" t="s">
        <v>195</v>
      </c>
      <c r="AA57" s="422"/>
    </row>
    <row r="58" spans="1:27" ht="13.5" customHeight="1">
      <c r="A58" s="196">
        <f t="shared" si="0"/>
        <v>0</v>
      </c>
      <c r="B58" s="196" t="str">
        <f t="shared" si="0"/>
        <v>Solar</v>
      </c>
      <c r="C58" s="196">
        <f t="shared" si="0"/>
        <v>0</v>
      </c>
      <c r="D58" s="196">
        <f t="shared" si="1"/>
        <v>0</v>
      </c>
      <c r="E58" s="196">
        <f t="shared" si="2"/>
        <v>0</v>
      </c>
      <c r="F58" s="196">
        <f t="shared" si="3"/>
        <v>0</v>
      </c>
      <c r="G58" s="196">
        <f t="shared" si="4"/>
        <v>0</v>
      </c>
      <c r="H58" s="196">
        <f t="shared" si="4"/>
        <v>0</v>
      </c>
      <c r="I58" s="196">
        <f t="shared" si="5"/>
        <v>0</v>
      </c>
      <c r="J58" s="196">
        <f t="shared" si="5"/>
        <v>0</v>
      </c>
      <c r="K58" s="196" t="str">
        <f t="shared" si="6"/>
        <v>Solar</v>
      </c>
      <c r="L58" s="196" t="str">
        <f t="shared" si="7"/>
        <v>Solar</v>
      </c>
      <c r="M58" s="196" t="str">
        <f t="shared" si="8"/>
        <v>YesNewMWHSolar</v>
      </c>
      <c r="N58" s="196" t="str">
        <f t="shared" si="9"/>
        <v>YesNewSolar</v>
      </c>
      <c r="O58" s="196" t="str">
        <f t="shared" si="10"/>
        <v>YesNewMWHSolaryes</v>
      </c>
      <c r="P58" s="196" t="str">
        <f t="shared" si="11"/>
        <v>YesNewSolaryes</v>
      </c>
      <c r="Q58" s="196" t="str">
        <f t="shared" si="12"/>
        <v>YesNewMWH</v>
      </c>
      <c r="R58" s="259" t="s">
        <v>246</v>
      </c>
      <c r="S58" s="259" t="s">
        <v>622</v>
      </c>
      <c r="T58" s="209">
        <v>2007</v>
      </c>
      <c r="U58" s="259" t="s">
        <v>629</v>
      </c>
      <c r="V58" s="421">
        <v>0.3</v>
      </c>
      <c r="W58" s="421">
        <v>0.3</v>
      </c>
      <c r="X58" s="421"/>
      <c r="Y58" s="421"/>
      <c r="Z58" s="259" t="s">
        <v>195</v>
      </c>
      <c r="AA58" s="422"/>
    </row>
    <row r="59" spans="1:27" ht="13.5" customHeight="1">
      <c r="A59" s="196">
        <f t="shared" si="0"/>
        <v>0</v>
      </c>
      <c r="B59" s="196" t="str">
        <f t="shared" si="0"/>
        <v>Solar</v>
      </c>
      <c r="C59" s="196">
        <f t="shared" si="0"/>
        <v>0</v>
      </c>
      <c r="D59" s="196">
        <f t="shared" si="1"/>
        <v>0</v>
      </c>
      <c r="E59" s="196">
        <f t="shared" si="2"/>
        <v>0</v>
      </c>
      <c r="F59" s="196">
        <f t="shared" si="3"/>
        <v>0</v>
      </c>
      <c r="G59" s="196">
        <f t="shared" si="4"/>
        <v>0</v>
      </c>
      <c r="H59" s="196">
        <f t="shared" si="4"/>
        <v>0</v>
      </c>
      <c r="I59" s="196">
        <f t="shared" si="5"/>
        <v>0</v>
      </c>
      <c r="J59" s="196">
        <f t="shared" si="5"/>
        <v>0</v>
      </c>
      <c r="K59" s="196" t="str">
        <f t="shared" si="6"/>
        <v>Solar</v>
      </c>
      <c r="L59" s="196" t="str">
        <f t="shared" si="7"/>
        <v>Solar</v>
      </c>
      <c r="M59" s="196" t="str">
        <f t="shared" si="8"/>
        <v>YesNewMWHSolar</v>
      </c>
      <c r="N59" s="196" t="str">
        <f t="shared" si="9"/>
        <v>YesNewSolar</v>
      </c>
      <c r="O59" s="196" t="str">
        <f t="shared" si="10"/>
        <v>YesNewMWHSolaryes</v>
      </c>
      <c r="P59" s="196" t="str">
        <f t="shared" si="11"/>
        <v>YesNewSolaryes</v>
      </c>
      <c r="Q59" s="196" t="str">
        <f t="shared" si="12"/>
        <v>YesNewMWH</v>
      </c>
      <c r="R59" s="259" t="s">
        <v>246</v>
      </c>
      <c r="S59" s="259" t="s">
        <v>623</v>
      </c>
      <c r="T59" s="209">
        <v>2005</v>
      </c>
      <c r="U59" s="259" t="s">
        <v>629</v>
      </c>
      <c r="V59" s="421">
        <v>0.015</v>
      </c>
      <c r="W59" s="421">
        <v>0.015</v>
      </c>
      <c r="X59" s="421"/>
      <c r="Y59" s="421"/>
      <c r="Z59" s="259" t="s">
        <v>195</v>
      </c>
      <c r="AA59" s="422"/>
    </row>
    <row r="60" spans="1:27" ht="13.5" customHeight="1">
      <c r="A60" s="196">
        <f t="shared" si="0"/>
        <v>0</v>
      </c>
      <c r="B60" s="196" t="str">
        <f t="shared" si="0"/>
        <v>Solar</v>
      </c>
      <c r="C60" s="196">
        <f t="shared" si="0"/>
        <v>0</v>
      </c>
      <c r="D60" s="196">
        <f t="shared" si="1"/>
        <v>0</v>
      </c>
      <c r="E60" s="196">
        <f t="shared" si="2"/>
        <v>0</v>
      </c>
      <c r="F60" s="196">
        <f t="shared" si="3"/>
        <v>0</v>
      </c>
      <c r="G60" s="196">
        <f t="shared" si="4"/>
        <v>0</v>
      </c>
      <c r="H60" s="196">
        <f t="shared" si="4"/>
        <v>0</v>
      </c>
      <c r="I60" s="196">
        <f t="shared" si="5"/>
        <v>0</v>
      </c>
      <c r="J60" s="196">
        <f t="shared" si="5"/>
        <v>0</v>
      </c>
      <c r="K60" s="196" t="str">
        <f t="shared" si="6"/>
        <v>Solar</v>
      </c>
      <c r="L60" s="196" t="str">
        <f t="shared" si="7"/>
        <v>Solar</v>
      </c>
      <c r="M60" s="196" t="str">
        <f t="shared" si="8"/>
        <v>YesNewMWHSolar</v>
      </c>
      <c r="N60" s="196" t="str">
        <f t="shared" si="9"/>
        <v>YesNewSolar</v>
      </c>
      <c r="O60" s="196" t="str">
        <f t="shared" si="10"/>
        <v>YesNewMWHSolaryes</v>
      </c>
      <c r="P60" s="196" t="str">
        <f t="shared" si="11"/>
        <v>YesNewSolaryes</v>
      </c>
      <c r="Q60" s="196" t="str">
        <f t="shared" si="12"/>
        <v>YesNewMWH</v>
      </c>
      <c r="R60" s="259" t="s">
        <v>246</v>
      </c>
      <c r="S60" s="259" t="s">
        <v>623</v>
      </c>
      <c r="T60" s="209">
        <v>2005</v>
      </c>
      <c r="U60" s="259" t="s">
        <v>629</v>
      </c>
      <c r="V60" s="421">
        <v>0.015</v>
      </c>
      <c r="W60" s="421">
        <v>0.015</v>
      </c>
      <c r="X60" s="421"/>
      <c r="Y60" s="421"/>
      <c r="Z60" s="259" t="s">
        <v>195</v>
      </c>
      <c r="AA60" s="422"/>
    </row>
    <row r="61" spans="1:27" ht="13.5" customHeight="1">
      <c r="A61" s="196">
        <f t="shared" si="0"/>
        <v>0</v>
      </c>
      <c r="B61" s="196" t="str">
        <f t="shared" si="0"/>
        <v>Solar</v>
      </c>
      <c r="C61" s="196">
        <f t="shared" si="0"/>
        <v>0</v>
      </c>
      <c r="D61" s="196">
        <f t="shared" si="1"/>
        <v>0</v>
      </c>
      <c r="E61" s="196">
        <f t="shared" si="2"/>
        <v>0</v>
      </c>
      <c r="F61" s="196">
        <f t="shared" si="3"/>
        <v>0</v>
      </c>
      <c r="G61" s="196">
        <f t="shared" si="4"/>
        <v>0</v>
      </c>
      <c r="H61" s="196">
        <f t="shared" si="4"/>
        <v>0</v>
      </c>
      <c r="I61" s="196">
        <f t="shared" si="5"/>
        <v>0</v>
      </c>
      <c r="J61" s="196">
        <f t="shared" si="5"/>
        <v>0</v>
      </c>
      <c r="K61" s="196" t="str">
        <f t="shared" si="6"/>
        <v>Solar</v>
      </c>
      <c r="L61" s="196" t="str">
        <f t="shared" si="7"/>
        <v>Solar</v>
      </c>
      <c r="M61" s="196" t="str">
        <f t="shared" si="8"/>
        <v>YesNewMWHSolar</v>
      </c>
      <c r="N61" s="196" t="str">
        <f t="shared" si="9"/>
        <v>YesNewSolar</v>
      </c>
      <c r="O61" s="196" t="str">
        <f t="shared" si="10"/>
        <v>YesNewMWHSolaryes</v>
      </c>
      <c r="P61" s="196" t="str">
        <f t="shared" si="11"/>
        <v>YesNewSolaryes</v>
      </c>
      <c r="Q61" s="196" t="str">
        <f t="shared" si="12"/>
        <v>YesNewMWH</v>
      </c>
      <c r="R61" s="259" t="s">
        <v>246</v>
      </c>
      <c r="S61" s="259" t="s">
        <v>623</v>
      </c>
      <c r="T61" s="209">
        <v>2005</v>
      </c>
      <c r="U61" s="259" t="s">
        <v>629</v>
      </c>
      <c r="V61" s="421">
        <v>0.015</v>
      </c>
      <c r="W61" s="421">
        <v>0.015</v>
      </c>
      <c r="X61" s="421"/>
      <c r="Y61" s="421"/>
      <c r="Z61" s="259" t="s">
        <v>195</v>
      </c>
      <c r="AA61" s="422"/>
    </row>
    <row r="62" spans="1:27" ht="13.5" customHeight="1">
      <c r="A62" s="196">
        <f t="shared" si="0"/>
        <v>0</v>
      </c>
      <c r="B62" s="196" t="str">
        <f t="shared" si="0"/>
        <v>Solar</v>
      </c>
      <c r="C62" s="196">
        <f t="shared" si="0"/>
        <v>0</v>
      </c>
      <c r="D62" s="196">
        <f t="shared" si="1"/>
        <v>0</v>
      </c>
      <c r="E62" s="196">
        <f t="shared" si="2"/>
        <v>0</v>
      </c>
      <c r="F62" s="196">
        <f t="shared" si="3"/>
        <v>0</v>
      </c>
      <c r="G62" s="196">
        <f t="shared" si="4"/>
        <v>0</v>
      </c>
      <c r="H62" s="196">
        <f t="shared" si="4"/>
        <v>0</v>
      </c>
      <c r="I62" s="196">
        <f t="shared" si="5"/>
        <v>0</v>
      </c>
      <c r="J62" s="196">
        <f t="shared" si="5"/>
        <v>0</v>
      </c>
      <c r="K62" s="196" t="str">
        <f t="shared" si="6"/>
        <v>Solar</v>
      </c>
      <c r="L62" s="196" t="str">
        <f t="shared" si="7"/>
        <v>Solar</v>
      </c>
      <c r="M62" s="196" t="str">
        <f t="shared" si="8"/>
        <v>YesNewMWHSolar</v>
      </c>
      <c r="N62" s="196" t="str">
        <f t="shared" si="9"/>
        <v>YesNewSolar</v>
      </c>
      <c r="O62" s="196" t="str">
        <f t="shared" si="10"/>
        <v>YesNewMWHSolaryes</v>
      </c>
      <c r="P62" s="196" t="str">
        <f t="shared" si="11"/>
        <v>YesNewSolaryes</v>
      </c>
      <c r="Q62" s="196" t="str">
        <f t="shared" si="12"/>
        <v>YesNewMWH</v>
      </c>
      <c r="R62" s="259" t="s">
        <v>246</v>
      </c>
      <c r="S62" s="259" t="s">
        <v>623</v>
      </c>
      <c r="T62" s="209">
        <v>2005</v>
      </c>
      <c r="U62" s="259" t="s">
        <v>629</v>
      </c>
      <c r="V62" s="421">
        <v>0.015</v>
      </c>
      <c r="W62" s="421">
        <v>0.015</v>
      </c>
      <c r="X62" s="421"/>
      <c r="Y62" s="421"/>
      <c r="Z62" s="259" t="s">
        <v>195</v>
      </c>
      <c r="AA62" s="422"/>
    </row>
    <row r="63" spans="1:27" ht="13.5" customHeight="1">
      <c r="A63" s="196">
        <f t="shared" si="0"/>
        <v>0</v>
      </c>
      <c r="B63" s="196" t="str">
        <f t="shared" si="0"/>
        <v>Solar</v>
      </c>
      <c r="C63" s="196">
        <f t="shared" si="0"/>
        <v>0</v>
      </c>
      <c r="D63" s="196">
        <f t="shared" si="1"/>
        <v>0</v>
      </c>
      <c r="E63" s="196">
        <f t="shared" si="2"/>
        <v>0</v>
      </c>
      <c r="F63" s="196">
        <f t="shared" si="3"/>
        <v>0</v>
      </c>
      <c r="G63" s="196">
        <f t="shared" si="4"/>
        <v>0</v>
      </c>
      <c r="H63" s="196">
        <f t="shared" si="4"/>
        <v>0</v>
      </c>
      <c r="I63" s="196">
        <f t="shared" si="5"/>
        <v>0</v>
      </c>
      <c r="J63" s="196">
        <f t="shared" si="5"/>
        <v>0</v>
      </c>
      <c r="K63" s="196" t="str">
        <f t="shared" si="6"/>
        <v>Solar</v>
      </c>
      <c r="L63" s="196" t="str">
        <f t="shared" si="7"/>
        <v>Solar</v>
      </c>
      <c r="M63" s="196" t="str">
        <f t="shared" si="8"/>
        <v>YesNewMWHSolar</v>
      </c>
      <c r="N63" s="196" t="str">
        <f t="shared" si="9"/>
        <v>YesNewSolar</v>
      </c>
      <c r="O63" s="196" t="str">
        <f t="shared" si="10"/>
        <v>YesNewMWHSolaryes</v>
      </c>
      <c r="P63" s="196" t="str">
        <f t="shared" si="11"/>
        <v>YesNewSolaryes</v>
      </c>
      <c r="Q63" s="196" t="str">
        <f t="shared" si="12"/>
        <v>YesNewMWH</v>
      </c>
      <c r="R63" s="259" t="s">
        <v>246</v>
      </c>
      <c r="S63" s="259" t="s">
        <v>623</v>
      </c>
      <c r="T63" s="209">
        <v>2005</v>
      </c>
      <c r="U63" s="259" t="s">
        <v>629</v>
      </c>
      <c r="V63" s="421">
        <v>0.015</v>
      </c>
      <c r="W63" s="421">
        <v>0.015</v>
      </c>
      <c r="X63" s="421"/>
      <c r="Y63" s="421"/>
      <c r="Z63" s="259" t="s">
        <v>195</v>
      </c>
      <c r="AA63" s="422"/>
    </row>
    <row r="64" spans="1:27" ht="13.5" customHeight="1">
      <c r="A64" s="196">
        <f t="shared" si="0"/>
        <v>0</v>
      </c>
      <c r="B64" s="196" t="str">
        <f t="shared" si="0"/>
        <v>Solar</v>
      </c>
      <c r="C64" s="196">
        <f t="shared" si="0"/>
        <v>0</v>
      </c>
      <c r="D64" s="196">
        <f t="shared" si="1"/>
        <v>0</v>
      </c>
      <c r="E64" s="196">
        <f t="shared" si="2"/>
        <v>0</v>
      </c>
      <c r="F64" s="196">
        <f t="shared" si="3"/>
        <v>0</v>
      </c>
      <c r="G64" s="196">
        <f t="shared" si="4"/>
        <v>0</v>
      </c>
      <c r="H64" s="196">
        <f t="shared" si="4"/>
        <v>0</v>
      </c>
      <c r="I64" s="196">
        <f t="shared" si="5"/>
        <v>0</v>
      </c>
      <c r="J64" s="196">
        <f t="shared" si="5"/>
        <v>0</v>
      </c>
      <c r="K64" s="196" t="str">
        <f t="shared" si="6"/>
        <v>Solar</v>
      </c>
      <c r="L64" s="196" t="str">
        <f t="shared" si="7"/>
        <v>Solar</v>
      </c>
      <c r="M64" s="196" t="str">
        <f t="shared" si="8"/>
        <v>YesNewMWHSolar</v>
      </c>
      <c r="N64" s="196" t="str">
        <f t="shared" si="9"/>
        <v>YesNewSolar</v>
      </c>
      <c r="O64" s="196" t="str">
        <f t="shared" si="10"/>
        <v>YesNewMWHSolaryes</v>
      </c>
      <c r="P64" s="196" t="str">
        <f t="shared" si="11"/>
        <v>YesNewSolaryes</v>
      </c>
      <c r="Q64" s="196" t="str">
        <f t="shared" si="12"/>
        <v>YesNewMWH</v>
      </c>
      <c r="R64" s="259" t="s">
        <v>246</v>
      </c>
      <c r="S64" s="259" t="s">
        <v>623</v>
      </c>
      <c r="T64" s="209">
        <v>2005</v>
      </c>
      <c r="U64" s="259" t="s">
        <v>629</v>
      </c>
      <c r="V64" s="421">
        <v>0.015</v>
      </c>
      <c r="W64" s="421">
        <v>0.015</v>
      </c>
      <c r="X64" s="421"/>
      <c r="Y64" s="421"/>
      <c r="Z64" s="259" t="s">
        <v>195</v>
      </c>
      <c r="AA64" s="422"/>
    </row>
    <row r="65" spans="1:27" ht="13.5" customHeight="1">
      <c r="A65" s="196">
        <f t="shared" si="0"/>
        <v>0</v>
      </c>
      <c r="B65" s="196" t="str">
        <f t="shared" si="0"/>
        <v>Solar</v>
      </c>
      <c r="C65" s="196">
        <f t="shared" si="0"/>
        <v>0</v>
      </c>
      <c r="D65" s="196">
        <f t="shared" si="1"/>
        <v>0</v>
      </c>
      <c r="E65" s="196">
        <f t="shared" si="2"/>
        <v>0</v>
      </c>
      <c r="F65" s="196">
        <f t="shared" si="3"/>
        <v>0</v>
      </c>
      <c r="G65" s="196">
        <f t="shared" si="4"/>
        <v>0</v>
      </c>
      <c r="H65" s="196">
        <f t="shared" si="4"/>
        <v>0</v>
      </c>
      <c r="I65" s="196">
        <f t="shared" si="5"/>
        <v>0</v>
      </c>
      <c r="J65" s="196">
        <f t="shared" si="5"/>
        <v>0</v>
      </c>
      <c r="K65" s="196" t="str">
        <f t="shared" si="6"/>
        <v>Solar</v>
      </c>
      <c r="L65" s="196" t="str">
        <f t="shared" si="7"/>
        <v>Solar</v>
      </c>
      <c r="M65" s="196" t="str">
        <f t="shared" si="8"/>
        <v>YesNewMWHSolar</v>
      </c>
      <c r="N65" s="196" t="str">
        <f t="shared" si="9"/>
        <v>YesNewSolar</v>
      </c>
      <c r="O65" s="196" t="str">
        <f t="shared" si="10"/>
        <v>YesNewMWHSolaryes</v>
      </c>
      <c r="P65" s="196" t="str">
        <f t="shared" si="11"/>
        <v>YesNewSolaryes</v>
      </c>
      <c r="Q65" s="196" t="str">
        <f t="shared" si="12"/>
        <v>YesNewMWH</v>
      </c>
      <c r="R65" s="259" t="s">
        <v>246</v>
      </c>
      <c r="S65" s="259" t="s">
        <v>624</v>
      </c>
      <c r="T65" s="209">
        <v>2007</v>
      </c>
      <c r="U65" s="259" t="s">
        <v>629</v>
      </c>
      <c r="V65" s="421">
        <v>0.03</v>
      </c>
      <c r="W65" s="421">
        <v>0.03</v>
      </c>
      <c r="X65" s="421"/>
      <c r="Y65" s="421"/>
      <c r="Z65" s="259" t="s">
        <v>195</v>
      </c>
      <c r="AA65" s="422"/>
    </row>
    <row r="66" spans="1:27" ht="13.5" customHeight="1">
      <c r="A66" s="196">
        <f t="shared" si="0"/>
        <v>0</v>
      </c>
      <c r="B66" s="196" t="str">
        <f t="shared" si="0"/>
        <v>Solar</v>
      </c>
      <c r="C66" s="196">
        <f t="shared" si="0"/>
        <v>0</v>
      </c>
      <c r="D66" s="196">
        <f t="shared" si="1"/>
        <v>0</v>
      </c>
      <c r="E66" s="196">
        <f t="shared" si="2"/>
        <v>0</v>
      </c>
      <c r="F66" s="196">
        <f t="shared" si="3"/>
        <v>0</v>
      </c>
      <c r="G66" s="196">
        <f t="shared" si="4"/>
        <v>0</v>
      </c>
      <c r="H66" s="196">
        <f t="shared" si="4"/>
        <v>0</v>
      </c>
      <c r="I66" s="196">
        <f t="shared" si="5"/>
        <v>0</v>
      </c>
      <c r="J66" s="196">
        <f t="shared" si="5"/>
        <v>0</v>
      </c>
      <c r="K66" s="196" t="str">
        <f t="shared" si="6"/>
        <v>Solar</v>
      </c>
      <c r="L66" s="196" t="str">
        <f t="shared" si="7"/>
        <v>Solar</v>
      </c>
      <c r="M66" s="196" t="str">
        <f t="shared" si="8"/>
        <v>YesNewMWHSolar</v>
      </c>
      <c r="N66" s="196" t="str">
        <f t="shared" si="9"/>
        <v>YesNewSolar</v>
      </c>
      <c r="O66" s="196" t="str">
        <f t="shared" si="10"/>
        <v>YesNewMWHSolaryes</v>
      </c>
      <c r="P66" s="196" t="str">
        <f t="shared" si="11"/>
        <v>YesNewSolaryes</v>
      </c>
      <c r="Q66" s="196" t="str">
        <f t="shared" si="12"/>
        <v>YesNewMWH</v>
      </c>
      <c r="R66" s="259" t="s">
        <v>246</v>
      </c>
      <c r="S66" s="259" t="s">
        <v>625</v>
      </c>
      <c r="T66" s="209">
        <v>2007</v>
      </c>
      <c r="U66" s="259" t="s">
        <v>629</v>
      </c>
      <c r="V66" s="421">
        <v>0.015</v>
      </c>
      <c r="W66" s="421">
        <v>0.015</v>
      </c>
      <c r="X66" s="421"/>
      <c r="Y66" s="421"/>
      <c r="Z66" s="259" t="s">
        <v>195</v>
      </c>
      <c r="AA66" s="422"/>
    </row>
    <row r="67" spans="1:27" ht="13.5" customHeight="1">
      <c r="A67" s="196">
        <f t="shared" si="0"/>
        <v>0</v>
      </c>
      <c r="B67" s="196" t="str">
        <f t="shared" si="0"/>
        <v>Solar</v>
      </c>
      <c r="C67" s="196">
        <f t="shared" si="0"/>
        <v>0</v>
      </c>
      <c r="D67" s="196">
        <f t="shared" si="1"/>
        <v>0</v>
      </c>
      <c r="E67" s="196">
        <f t="shared" si="2"/>
        <v>0</v>
      </c>
      <c r="F67" s="196">
        <f t="shared" si="3"/>
        <v>0</v>
      </c>
      <c r="G67" s="196">
        <f t="shared" si="4"/>
        <v>0</v>
      </c>
      <c r="H67" s="196">
        <f t="shared" si="4"/>
        <v>0</v>
      </c>
      <c r="I67" s="196">
        <f t="shared" si="5"/>
        <v>0</v>
      </c>
      <c r="J67" s="196">
        <f t="shared" si="5"/>
        <v>0</v>
      </c>
      <c r="K67" s="196" t="str">
        <f t="shared" si="6"/>
        <v>Solar</v>
      </c>
      <c r="L67" s="196" t="str">
        <f t="shared" si="7"/>
        <v>Solar</v>
      </c>
      <c r="M67" s="196" t="str">
        <f t="shared" si="8"/>
        <v>YesNewMWHSolar</v>
      </c>
      <c r="N67" s="196" t="str">
        <f t="shared" si="9"/>
        <v>YesNewSolar</v>
      </c>
      <c r="O67" s="196" t="str">
        <f t="shared" si="10"/>
        <v>YesNewMWHSolaryes</v>
      </c>
      <c r="P67" s="196" t="str">
        <f t="shared" si="11"/>
        <v>YesNewSolaryes</v>
      </c>
      <c r="Q67" s="196" t="str">
        <f t="shared" si="12"/>
        <v>YesNewMWH</v>
      </c>
      <c r="R67" s="259" t="s">
        <v>246</v>
      </c>
      <c r="S67" s="259" t="s">
        <v>625</v>
      </c>
      <c r="T67" s="209">
        <v>2007</v>
      </c>
      <c r="U67" s="259" t="s">
        <v>629</v>
      </c>
      <c r="V67" s="421">
        <v>0.015</v>
      </c>
      <c r="W67" s="421">
        <v>0.015</v>
      </c>
      <c r="X67" s="421"/>
      <c r="Y67" s="421"/>
      <c r="Z67" s="259" t="s">
        <v>195</v>
      </c>
      <c r="AA67" s="422"/>
    </row>
    <row r="68" spans="1:27" ht="13.5" customHeight="1">
      <c r="A68" s="196">
        <f t="shared" si="0"/>
        <v>0</v>
      </c>
      <c r="B68" s="196" t="str">
        <f t="shared" si="0"/>
        <v>Solar</v>
      </c>
      <c r="C68" s="196">
        <f t="shared" si="0"/>
        <v>0</v>
      </c>
      <c r="D68" s="196">
        <f t="shared" si="1"/>
        <v>0</v>
      </c>
      <c r="E68" s="196">
        <f t="shared" si="2"/>
        <v>0</v>
      </c>
      <c r="F68" s="196">
        <f t="shared" si="3"/>
        <v>0</v>
      </c>
      <c r="G68" s="196">
        <f t="shared" si="4"/>
        <v>0</v>
      </c>
      <c r="H68" s="196">
        <f t="shared" si="4"/>
        <v>0</v>
      </c>
      <c r="I68" s="196">
        <f t="shared" si="5"/>
        <v>0</v>
      </c>
      <c r="J68" s="196">
        <f t="shared" si="5"/>
        <v>0</v>
      </c>
      <c r="K68" s="196" t="str">
        <f t="shared" si="6"/>
        <v>Solar</v>
      </c>
      <c r="L68" s="196" t="str">
        <f t="shared" si="7"/>
        <v>Solar</v>
      </c>
      <c r="M68" s="196" t="str">
        <f t="shared" si="8"/>
        <v>YesNewMWHSolar</v>
      </c>
      <c r="N68" s="196" t="str">
        <f t="shared" si="9"/>
        <v>YesNewSolar</v>
      </c>
      <c r="O68" s="196" t="str">
        <f t="shared" si="10"/>
        <v>YesNewMWHSolaryes</v>
      </c>
      <c r="P68" s="196" t="str">
        <f t="shared" si="11"/>
        <v>YesNewSolaryes</v>
      </c>
      <c r="Q68" s="196" t="str">
        <f t="shared" si="12"/>
        <v>YesNewMWH</v>
      </c>
      <c r="R68" s="259" t="s">
        <v>246</v>
      </c>
      <c r="S68" s="259" t="s">
        <v>625</v>
      </c>
      <c r="T68" s="209">
        <v>2007</v>
      </c>
      <c r="U68" s="259" t="s">
        <v>629</v>
      </c>
      <c r="V68" s="421">
        <v>0.015</v>
      </c>
      <c r="W68" s="421">
        <v>0.015</v>
      </c>
      <c r="X68" s="421"/>
      <c r="Y68" s="421"/>
      <c r="Z68" s="259" t="s">
        <v>195</v>
      </c>
      <c r="AA68" s="422"/>
    </row>
    <row r="69" spans="1:27" ht="13.5" customHeight="1">
      <c r="A69" s="196">
        <f t="shared" si="0"/>
        <v>0</v>
      </c>
      <c r="B69" s="196" t="str">
        <f t="shared" si="0"/>
        <v>Solar</v>
      </c>
      <c r="C69" s="196">
        <f t="shared" si="0"/>
        <v>0</v>
      </c>
      <c r="D69" s="196">
        <f t="shared" si="1"/>
        <v>0</v>
      </c>
      <c r="E69" s="196">
        <f t="shared" si="2"/>
        <v>0</v>
      </c>
      <c r="F69" s="196">
        <f t="shared" si="3"/>
        <v>0</v>
      </c>
      <c r="G69" s="196">
        <f t="shared" si="4"/>
        <v>0</v>
      </c>
      <c r="H69" s="196">
        <f t="shared" si="4"/>
        <v>0</v>
      </c>
      <c r="I69" s="196">
        <f t="shared" si="5"/>
        <v>0</v>
      </c>
      <c r="J69" s="196">
        <f t="shared" si="5"/>
        <v>0</v>
      </c>
      <c r="K69" s="196" t="str">
        <f t="shared" si="6"/>
        <v>Solar</v>
      </c>
      <c r="L69" s="196" t="str">
        <f t="shared" si="7"/>
        <v>Solar</v>
      </c>
      <c r="M69" s="196" t="str">
        <f t="shared" si="8"/>
        <v>YesNewMWHSolar</v>
      </c>
      <c r="N69" s="196" t="str">
        <f t="shared" si="9"/>
        <v>YesNewSolar</v>
      </c>
      <c r="O69" s="196" t="str">
        <f t="shared" si="10"/>
        <v>YesNewMWHSolarno</v>
      </c>
      <c r="P69" s="196" t="str">
        <f t="shared" si="11"/>
        <v>YesNewSolarno</v>
      </c>
      <c r="Q69" s="196" t="str">
        <f t="shared" si="12"/>
        <v>YesNewMWH</v>
      </c>
      <c r="R69" s="259" t="s">
        <v>246</v>
      </c>
      <c r="S69" s="259" t="s">
        <v>625</v>
      </c>
      <c r="T69" s="209">
        <v>2008</v>
      </c>
      <c r="U69" s="259" t="s">
        <v>630</v>
      </c>
      <c r="V69" s="421">
        <v>0.015</v>
      </c>
      <c r="W69" s="421">
        <v>0.015</v>
      </c>
      <c r="X69" s="421"/>
      <c r="Y69" s="421"/>
      <c r="Z69" s="259" t="s">
        <v>195</v>
      </c>
      <c r="AA69" s="422"/>
    </row>
    <row r="70" spans="1:27" ht="13.5" customHeight="1">
      <c r="A70" s="196">
        <f aca="true" t="shared" si="13" ref="A70:C126">IF(ISERROR(SEARCH(A$5,$R70)),0,IF(ISNUMBER(SEARCH(A$5,$R70)),$A$5,0))</f>
        <v>0</v>
      </c>
      <c r="B70" s="196" t="str">
        <f t="shared" si="13"/>
        <v>Solar</v>
      </c>
      <c r="C70" s="196">
        <f t="shared" si="13"/>
        <v>0</v>
      </c>
      <c r="D70" s="196">
        <f aca="true" t="shared" si="14" ref="D70:D126">IF(ISERROR(SEARCH(D$5,$R70)),0,IF(ISNUMBER(SEARCH(D$5,$R70)),$D$5,0))</f>
        <v>0</v>
      </c>
      <c r="E70" s="196">
        <f aca="true" t="shared" si="15" ref="E70:E126">IF(ISERROR(SEARCH(E$5,$R70)),0,IF(ISNUMBER(SEARCH(E$5,$R70)),$E$5,0))</f>
        <v>0</v>
      </c>
      <c r="F70" s="196">
        <f aca="true" t="shared" si="16" ref="F70:F126">IF(ISERROR(SEARCH(F$5,$R70)),0,IF(ISNUMBER(SEARCH(F$5,$R70)),$F$5,0))</f>
        <v>0</v>
      </c>
      <c r="G70" s="196">
        <f aca="true" t="shared" si="17" ref="G70:H126">IF(ISERROR(SEARCH(G$5,$R70)),0,IF(ISNUMBER(SEARCH(G$5,$R70)),$G$5,0))</f>
        <v>0</v>
      </c>
      <c r="H70" s="196">
        <f t="shared" si="17"/>
        <v>0</v>
      </c>
      <c r="I70" s="196">
        <f aca="true" t="shared" si="18" ref="I70:J126">IF(ISERROR(SEARCH(I$5,$R70)),0,IF(ISNUMBER(SEARCH(I$5,$R70)),$I$5,0))</f>
        <v>0</v>
      </c>
      <c r="J70" s="196">
        <f t="shared" si="18"/>
        <v>0</v>
      </c>
      <c r="K70" s="196" t="str">
        <f aca="true" t="shared" si="19" ref="K70:K126">IF(ISTEXT(A70),A70,IF(ISTEXT(B70),B70,IF(ISTEXT(C70),C70,IF(ISTEXT(D70),D70,IF(ISTEXT(E70),E70,IF(ISTEXT(F70),F70,IF(ISTEXT(G70),G70,0)))))))</f>
        <v>Solar</v>
      </c>
      <c r="L70" s="196" t="str">
        <f aca="true" t="shared" si="20" ref="L70:L126">IF(ISTEXT(H70),H70,IF(ISTEXT(I70),I70,IF(ISTEXT(J70),J70,IF(ISTEXT(K70),K70,""))))</f>
        <v>Solar</v>
      </c>
      <c r="M70" s="196" t="str">
        <f aca="true" t="shared" si="21" ref="M70:M126">CONCATENATE($Z70,IF($T70&gt;=1999,"New","Old"),IF($V70&gt;0,"MWH",""),$L70)</f>
        <v>YesNewMWHSolar</v>
      </c>
      <c r="N70" s="196" t="str">
        <f aca="true" t="shared" si="22" ref="N70:N126">CONCATENATE($Z70,IF($T70&gt;=1999,"New","Old"),IF($X70&gt;0,"MBtu",""),$L70)</f>
        <v>YesNewSolar</v>
      </c>
      <c r="O70" s="196" t="str">
        <f aca="true" t="shared" si="23" ref="O70:O126">CONCATENATE($Z70,IF($T70&gt;=1999,"New","Old"),IF($V70&gt;0,"MWH",""),$L70,$U70)</f>
        <v>YesNewMWHSolarno</v>
      </c>
      <c r="P70" s="196" t="str">
        <f aca="true" t="shared" si="24" ref="P70:P126">CONCATENATE($Z70,IF($T70&gt;=1999,"New","Old"),IF($X70&gt;0,"MBtu",""),$L70,$U70)</f>
        <v>YesNewSolarno</v>
      </c>
      <c r="Q70" s="196" t="str">
        <f aca="true" t="shared" si="25" ref="Q70:Q126">CONCATENATE($Z70,IF($T70&gt;=1999,"New","Old"),IF($V70&gt;0,"MWH",""))</f>
        <v>YesNewMWH</v>
      </c>
      <c r="R70" s="259" t="s">
        <v>246</v>
      </c>
      <c r="S70" s="259" t="s">
        <v>625</v>
      </c>
      <c r="T70" s="209">
        <v>2008</v>
      </c>
      <c r="U70" s="259" t="s">
        <v>630</v>
      </c>
      <c r="V70" s="421">
        <v>0.015</v>
      </c>
      <c r="W70" s="421">
        <v>0.015</v>
      </c>
      <c r="X70" s="421"/>
      <c r="Y70" s="421"/>
      <c r="Z70" s="259" t="s">
        <v>195</v>
      </c>
      <c r="AA70" s="422"/>
    </row>
    <row r="71" spans="1:27" ht="13.5" customHeight="1">
      <c r="A71" s="196">
        <f t="shared" si="13"/>
        <v>0</v>
      </c>
      <c r="B71" s="196" t="str">
        <f t="shared" si="13"/>
        <v>Solar</v>
      </c>
      <c r="C71" s="196">
        <f t="shared" si="13"/>
        <v>0</v>
      </c>
      <c r="D71" s="196">
        <f t="shared" si="14"/>
        <v>0</v>
      </c>
      <c r="E71" s="196">
        <f t="shared" si="15"/>
        <v>0</v>
      </c>
      <c r="F71" s="196">
        <f t="shared" si="16"/>
        <v>0</v>
      </c>
      <c r="G71" s="196">
        <f t="shared" si="17"/>
        <v>0</v>
      </c>
      <c r="H71" s="196">
        <f t="shared" si="17"/>
        <v>0</v>
      </c>
      <c r="I71" s="196">
        <f t="shared" si="18"/>
        <v>0</v>
      </c>
      <c r="J71" s="196">
        <f t="shared" si="18"/>
        <v>0</v>
      </c>
      <c r="K71" s="196" t="str">
        <f t="shared" si="19"/>
        <v>Solar</v>
      </c>
      <c r="L71" s="196" t="str">
        <f t="shared" si="20"/>
        <v>Solar</v>
      </c>
      <c r="M71" s="196" t="str">
        <f t="shared" si="21"/>
        <v>YesNewMWHSolar</v>
      </c>
      <c r="N71" s="196" t="str">
        <f t="shared" si="22"/>
        <v>YesNewSolar</v>
      </c>
      <c r="O71" s="196" t="str">
        <f t="shared" si="23"/>
        <v>YesNewMWHSolarno</v>
      </c>
      <c r="P71" s="196" t="str">
        <f t="shared" si="24"/>
        <v>YesNewSolarno</v>
      </c>
      <c r="Q71" s="196" t="str">
        <f t="shared" si="25"/>
        <v>YesNewMWH</v>
      </c>
      <c r="R71" s="259" t="s">
        <v>246</v>
      </c>
      <c r="S71" s="259" t="s">
        <v>625</v>
      </c>
      <c r="T71" s="209">
        <v>2008</v>
      </c>
      <c r="U71" s="259" t="s">
        <v>630</v>
      </c>
      <c r="V71" s="421">
        <v>0.015</v>
      </c>
      <c r="W71" s="421">
        <v>0.015</v>
      </c>
      <c r="X71" s="421"/>
      <c r="Y71" s="421"/>
      <c r="Z71" s="259" t="s">
        <v>195</v>
      </c>
      <c r="AA71" s="422"/>
    </row>
    <row r="72" spans="1:27" ht="13.5" customHeight="1">
      <c r="A72" s="196">
        <f t="shared" si="13"/>
        <v>0</v>
      </c>
      <c r="B72" s="196" t="str">
        <f t="shared" si="13"/>
        <v>Solar</v>
      </c>
      <c r="C72" s="196">
        <f t="shared" si="13"/>
        <v>0</v>
      </c>
      <c r="D72" s="196">
        <f t="shared" si="14"/>
        <v>0</v>
      </c>
      <c r="E72" s="196">
        <f t="shared" si="15"/>
        <v>0</v>
      </c>
      <c r="F72" s="196">
        <f t="shared" si="16"/>
        <v>0</v>
      </c>
      <c r="G72" s="196">
        <f t="shared" si="17"/>
        <v>0</v>
      </c>
      <c r="H72" s="196">
        <f t="shared" si="17"/>
        <v>0</v>
      </c>
      <c r="I72" s="196">
        <f t="shared" si="18"/>
        <v>0</v>
      </c>
      <c r="J72" s="196">
        <f t="shared" si="18"/>
        <v>0</v>
      </c>
      <c r="K72" s="196" t="str">
        <f t="shared" si="19"/>
        <v>Solar</v>
      </c>
      <c r="L72" s="196" t="str">
        <f t="shared" si="20"/>
        <v>Solar</v>
      </c>
      <c r="M72" s="196" t="str">
        <f t="shared" si="21"/>
        <v>YesNewMWHSolar</v>
      </c>
      <c r="N72" s="196" t="str">
        <f t="shared" si="22"/>
        <v>YesNewSolar</v>
      </c>
      <c r="O72" s="196" t="str">
        <f t="shared" si="23"/>
        <v>YesNewMWHSolarno</v>
      </c>
      <c r="P72" s="196" t="str">
        <f t="shared" si="24"/>
        <v>YesNewSolarno</v>
      </c>
      <c r="Q72" s="196" t="str">
        <f t="shared" si="25"/>
        <v>YesNewMWH</v>
      </c>
      <c r="R72" s="259" t="s">
        <v>246</v>
      </c>
      <c r="S72" s="259" t="s">
        <v>625</v>
      </c>
      <c r="T72" s="209">
        <v>2008</v>
      </c>
      <c r="U72" s="259" t="s">
        <v>630</v>
      </c>
      <c r="V72" s="421">
        <v>0.015</v>
      </c>
      <c r="W72" s="421">
        <v>0.015</v>
      </c>
      <c r="X72" s="421"/>
      <c r="Y72" s="421"/>
      <c r="Z72" s="259" t="s">
        <v>195</v>
      </c>
      <c r="AA72" s="422"/>
    </row>
    <row r="73" spans="1:27" ht="13.5" customHeight="1">
      <c r="A73" s="196">
        <f t="shared" si="13"/>
        <v>0</v>
      </c>
      <c r="B73" s="196" t="str">
        <f t="shared" si="13"/>
        <v>Solar</v>
      </c>
      <c r="C73" s="196">
        <f t="shared" si="13"/>
        <v>0</v>
      </c>
      <c r="D73" s="196">
        <f t="shared" si="14"/>
        <v>0</v>
      </c>
      <c r="E73" s="196">
        <f t="shared" si="15"/>
        <v>0</v>
      </c>
      <c r="F73" s="196">
        <f t="shared" si="16"/>
        <v>0</v>
      </c>
      <c r="G73" s="196">
        <f t="shared" si="17"/>
        <v>0</v>
      </c>
      <c r="H73" s="196">
        <f t="shared" si="17"/>
        <v>0</v>
      </c>
      <c r="I73" s="196">
        <f t="shared" si="18"/>
        <v>0</v>
      </c>
      <c r="J73" s="196">
        <f t="shared" si="18"/>
        <v>0</v>
      </c>
      <c r="K73" s="196" t="str">
        <f t="shared" si="19"/>
        <v>Solar</v>
      </c>
      <c r="L73" s="196" t="str">
        <f t="shared" si="20"/>
        <v>Solar</v>
      </c>
      <c r="M73" s="196" t="str">
        <f t="shared" si="21"/>
        <v>YesNewMWHSolar</v>
      </c>
      <c r="N73" s="196" t="str">
        <f t="shared" si="22"/>
        <v>YesNewSolar</v>
      </c>
      <c r="O73" s="196" t="str">
        <f t="shared" si="23"/>
        <v>YesNewMWHSolarno</v>
      </c>
      <c r="P73" s="196" t="str">
        <f t="shared" si="24"/>
        <v>YesNewSolarno</v>
      </c>
      <c r="Q73" s="196" t="str">
        <f t="shared" si="25"/>
        <v>YesNewMWH</v>
      </c>
      <c r="R73" s="259" t="s">
        <v>246</v>
      </c>
      <c r="S73" s="259" t="s">
        <v>625</v>
      </c>
      <c r="T73" s="209">
        <v>2008</v>
      </c>
      <c r="U73" s="259" t="s">
        <v>630</v>
      </c>
      <c r="V73" s="421">
        <v>0.015</v>
      </c>
      <c r="W73" s="421">
        <v>0.015</v>
      </c>
      <c r="X73" s="421"/>
      <c r="Y73" s="421"/>
      <c r="Z73" s="259" t="s">
        <v>195</v>
      </c>
      <c r="AA73" s="422"/>
    </row>
    <row r="74" spans="1:27" ht="13.5" customHeight="1">
      <c r="A74" s="196">
        <f t="shared" si="13"/>
        <v>0</v>
      </c>
      <c r="B74" s="196" t="str">
        <f t="shared" si="13"/>
        <v>Solar</v>
      </c>
      <c r="C74" s="196">
        <f t="shared" si="13"/>
        <v>0</v>
      </c>
      <c r="D74" s="196">
        <f t="shared" si="14"/>
        <v>0</v>
      </c>
      <c r="E74" s="196">
        <f t="shared" si="15"/>
        <v>0</v>
      </c>
      <c r="F74" s="196">
        <f t="shared" si="16"/>
        <v>0</v>
      </c>
      <c r="G74" s="196">
        <f t="shared" si="17"/>
        <v>0</v>
      </c>
      <c r="H74" s="196">
        <f t="shared" si="17"/>
        <v>0</v>
      </c>
      <c r="I74" s="196">
        <f t="shared" si="18"/>
        <v>0</v>
      </c>
      <c r="J74" s="196">
        <f t="shared" si="18"/>
        <v>0</v>
      </c>
      <c r="K74" s="196" t="str">
        <f t="shared" si="19"/>
        <v>Solar</v>
      </c>
      <c r="L74" s="196" t="str">
        <f t="shared" si="20"/>
        <v>Solar</v>
      </c>
      <c r="M74" s="196" t="str">
        <f t="shared" si="21"/>
        <v>YesNewMWHSolar</v>
      </c>
      <c r="N74" s="196" t="str">
        <f t="shared" si="22"/>
        <v>YesNewSolar</v>
      </c>
      <c r="O74" s="196" t="str">
        <f t="shared" si="23"/>
        <v>YesNewMWHSolarno</v>
      </c>
      <c r="P74" s="196" t="str">
        <f t="shared" si="24"/>
        <v>YesNewSolarno</v>
      </c>
      <c r="Q74" s="196" t="str">
        <f t="shared" si="25"/>
        <v>YesNewMWH</v>
      </c>
      <c r="R74" s="259" t="s">
        <v>246</v>
      </c>
      <c r="S74" s="259" t="s">
        <v>625</v>
      </c>
      <c r="T74" s="209">
        <v>2008</v>
      </c>
      <c r="U74" s="259" t="s">
        <v>630</v>
      </c>
      <c r="V74" s="421">
        <v>0.015</v>
      </c>
      <c r="W74" s="421">
        <v>0.015</v>
      </c>
      <c r="X74" s="421"/>
      <c r="Y74" s="421"/>
      <c r="Z74" s="259" t="s">
        <v>195</v>
      </c>
      <c r="AA74" s="422"/>
    </row>
    <row r="75" spans="1:27" ht="13.5" customHeight="1">
      <c r="A75" s="196">
        <f t="shared" si="13"/>
        <v>0</v>
      </c>
      <c r="B75" s="196" t="str">
        <f t="shared" si="13"/>
        <v>Solar</v>
      </c>
      <c r="C75" s="196">
        <f t="shared" si="13"/>
        <v>0</v>
      </c>
      <c r="D75" s="196">
        <f t="shared" si="14"/>
        <v>0</v>
      </c>
      <c r="E75" s="196">
        <f t="shared" si="15"/>
        <v>0</v>
      </c>
      <c r="F75" s="196">
        <f t="shared" si="16"/>
        <v>0</v>
      </c>
      <c r="G75" s="196">
        <f t="shared" si="17"/>
        <v>0</v>
      </c>
      <c r="H75" s="196">
        <f t="shared" si="17"/>
        <v>0</v>
      </c>
      <c r="I75" s="196">
        <f t="shared" si="18"/>
        <v>0</v>
      </c>
      <c r="J75" s="196">
        <f t="shared" si="18"/>
        <v>0</v>
      </c>
      <c r="K75" s="196" t="str">
        <f t="shared" si="19"/>
        <v>Solar</v>
      </c>
      <c r="L75" s="196" t="str">
        <f t="shared" si="20"/>
        <v>Solar</v>
      </c>
      <c r="M75" s="196" t="str">
        <f t="shared" si="21"/>
        <v>YesNewMWHSolar</v>
      </c>
      <c r="N75" s="196" t="str">
        <f t="shared" si="22"/>
        <v>YesNewSolar</v>
      </c>
      <c r="O75" s="196" t="str">
        <f t="shared" si="23"/>
        <v>YesNewMWHSolarno</v>
      </c>
      <c r="P75" s="196" t="str">
        <f t="shared" si="24"/>
        <v>YesNewSolarno</v>
      </c>
      <c r="Q75" s="196" t="str">
        <f t="shared" si="25"/>
        <v>YesNewMWH</v>
      </c>
      <c r="R75" s="259" t="s">
        <v>246</v>
      </c>
      <c r="S75" s="259" t="s">
        <v>625</v>
      </c>
      <c r="T75" s="209">
        <v>2008</v>
      </c>
      <c r="U75" s="259" t="s">
        <v>630</v>
      </c>
      <c r="V75" s="421">
        <v>0.015</v>
      </c>
      <c r="W75" s="421">
        <v>0.015</v>
      </c>
      <c r="X75" s="421"/>
      <c r="Y75" s="421"/>
      <c r="Z75" s="259" t="s">
        <v>195</v>
      </c>
      <c r="AA75" s="422"/>
    </row>
    <row r="76" spans="1:27" ht="13.5" customHeight="1">
      <c r="A76" s="196">
        <f t="shared" si="13"/>
        <v>0</v>
      </c>
      <c r="B76" s="196" t="str">
        <f t="shared" si="13"/>
        <v>Solar</v>
      </c>
      <c r="C76" s="196">
        <f t="shared" si="13"/>
        <v>0</v>
      </c>
      <c r="D76" s="196">
        <f t="shared" si="14"/>
        <v>0</v>
      </c>
      <c r="E76" s="196">
        <f t="shared" si="15"/>
        <v>0</v>
      </c>
      <c r="F76" s="196">
        <f t="shared" si="16"/>
        <v>0</v>
      </c>
      <c r="G76" s="196">
        <f t="shared" si="17"/>
        <v>0</v>
      </c>
      <c r="H76" s="196">
        <f t="shared" si="17"/>
        <v>0</v>
      </c>
      <c r="I76" s="196">
        <f t="shared" si="18"/>
        <v>0</v>
      </c>
      <c r="J76" s="196">
        <f t="shared" si="18"/>
        <v>0</v>
      </c>
      <c r="K76" s="196" t="str">
        <f t="shared" si="19"/>
        <v>Solar</v>
      </c>
      <c r="L76" s="196" t="str">
        <f t="shared" si="20"/>
        <v>Solar</v>
      </c>
      <c r="M76" s="196" t="str">
        <f t="shared" si="21"/>
        <v>YesNewMWHSolar</v>
      </c>
      <c r="N76" s="196" t="str">
        <f t="shared" si="22"/>
        <v>YesNewSolar</v>
      </c>
      <c r="O76" s="196" t="str">
        <f t="shared" si="23"/>
        <v>YesNewMWHSolarno</v>
      </c>
      <c r="P76" s="196" t="str">
        <f t="shared" si="24"/>
        <v>YesNewSolarno</v>
      </c>
      <c r="Q76" s="196" t="str">
        <f t="shared" si="25"/>
        <v>YesNewMWH</v>
      </c>
      <c r="R76" s="259" t="s">
        <v>246</v>
      </c>
      <c r="S76" s="259" t="s">
        <v>625</v>
      </c>
      <c r="T76" s="209">
        <v>2008</v>
      </c>
      <c r="U76" s="259" t="s">
        <v>630</v>
      </c>
      <c r="V76" s="421">
        <v>0.03</v>
      </c>
      <c r="W76" s="421">
        <v>0.03</v>
      </c>
      <c r="X76" s="421"/>
      <c r="Y76" s="421"/>
      <c r="Z76" s="259" t="s">
        <v>195</v>
      </c>
      <c r="AA76" s="422"/>
    </row>
    <row r="77" spans="1:27" ht="13.5" customHeight="1">
      <c r="A77" s="196">
        <f t="shared" si="13"/>
        <v>0</v>
      </c>
      <c r="B77" s="196" t="str">
        <f t="shared" si="13"/>
        <v>Solar</v>
      </c>
      <c r="C77" s="196">
        <f t="shared" si="13"/>
        <v>0</v>
      </c>
      <c r="D77" s="196">
        <f t="shared" si="14"/>
        <v>0</v>
      </c>
      <c r="E77" s="196">
        <f t="shared" si="15"/>
        <v>0</v>
      </c>
      <c r="F77" s="196">
        <f t="shared" si="16"/>
        <v>0</v>
      </c>
      <c r="G77" s="196">
        <f t="shared" si="17"/>
        <v>0</v>
      </c>
      <c r="H77" s="196">
        <f t="shared" si="17"/>
        <v>0</v>
      </c>
      <c r="I77" s="196">
        <f t="shared" si="18"/>
        <v>0</v>
      </c>
      <c r="J77" s="196">
        <f t="shared" si="18"/>
        <v>0</v>
      </c>
      <c r="K77" s="196" t="str">
        <f t="shared" si="19"/>
        <v>Solar</v>
      </c>
      <c r="L77" s="196" t="str">
        <f t="shared" si="20"/>
        <v>Solar</v>
      </c>
      <c r="M77" s="196" t="str">
        <f t="shared" si="21"/>
        <v>YesNewMWHSolar</v>
      </c>
      <c r="N77" s="196" t="str">
        <f t="shared" si="22"/>
        <v>YesNewSolar</v>
      </c>
      <c r="O77" s="196" t="str">
        <f t="shared" si="23"/>
        <v>YesNewMWHSolarno</v>
      </c>
      <c r="P77" s="196" t="str">
        <f t="shared" si="24"/>
        <v>YesNewSolarno</v>
      </c>
      <c r="Q77" s="196" t="str">
        <f t="shared" si="25"/>
        <v>YesNewMWH</v>
      </c>
      <c r="R77" s="259" t="s">
        <v>246</v>
      </c>
      <c r="S77" s="259" t="s">
        <v>625</v>
      </c>
      <c r="T77" s="209">
        <v>2008</v>
      </c>
      <c r="U77" s="259" t="s">
        <v>630</v>
      </c>
      <c r="V77" s="421">
        <v>0.03</v>
      </c>
      <c r="W77" s="421">
        <v>0.03</v>
      </c>
      <c r="X77" s="421"/>
      <c r="Y77" s="421"/>
      <c r="Z77" s="259" t="s">
        <v>195</v>
      </c>
      <c r="AA77" s="422"/>
    </row>
    <row r="78" spans="1:27" ht="13.5" customHeight="1">
      <c r="A78" s="196">
        <f t="shared" si="13"/>
        <v>0</v>
      </c>
      <c r="B78" s="196" t="str">
        <f t="shared" si="13"/>
        <v>Solar</v>
      </c>
      <c r="C78" s="196">
        <f t="shared" si="13"/>
        <v>0</v>
      </c>
      <c r="D78" s="196">
        <f t="shared" si="14"/>
        <v>0</v>
      </c>
      <c r="E78" s="196">
        <f t="shared" si="15"/>
        <v>0</v>
      </c>
      <c r="F78" s="196">
        <f t="shared" si="16"/>
        <v>0</v>
      </c>
      <c r="G78" s="196">
        <f t="shared" si="17"/>
        <v>0</v>
      </c>
      <c r="H78" s="196">
        <f t="shared" si="17"/>
        <v>0</v>
      </c>
      <c r="I78" s="196">
        <f t="shared" si="18"/>
        <v>0</v>
      </c>
      <c r="J78" s="196">
        <f t="shared" si="18"/>
        <v>0</v>
      </c>
      <c r="K78" s="196" t="str">
        <f t="shared" si="19"/>
        <v>Solar</v>
      </c>
      <c r="L78" s="196" t="str">
        <f t="shared" si="20"/>
        <v>Solar</v>
      </c>
      <c r="M78" s="196" t="str">
        <f t="shared" si="21"/>
        <v>YesNewMWHSolar</v>
      </c>
      <c r="N78" s="196" t="str">
        <f t="shared" si="22"/>
        <v>YesNewSolar</v>
      </c>
      <c r="O78" s="196" t="str">
        <f t="shared" si="23"/>
        <v>YesNewMWHSolarno</v>
      </c>
      <c r="P78" s="196" t="str">
        <f t="shared" si="24"/>
        <v>YesNewSolarno</v>
      </c>
      <c r="Q78" s="196" t="str">
        <f t="shared" si="25"/>
        <v>YesNewMWH</v>
      </c>
      <c r="R78" s="259" t="s">
        <v>246</v>
      </c>
      <c r="S78" s="259" t="s">
        <v>625</v>
      </c>
      <c r="T78" s="209">
        <v>2008</v>
      </c>
      <c r="U78" s="259" t="s">
        <v>630</v>
      </c>
      <c r="V78" s="421">
        <v>0.015</v>
      </c>
      <c r="W78" s="421">
        <v>0.015</v>
      </c>
      <c r="X78" s="421"/>
      <c r="Y78" s="421"/>
      <c r="Z78" s="259" t="s">
        <v>195</v>
      </c>
      <c r="AA78" s="422"/>
    </row>
    <row r="79" spans="1:27" ht="13.5" customHeight="1">
      <c r="A79" s="196">
        <f t="shared" si="13"/>
        <v>0</v>
      </c>
      <c r="B79" s="196" t="str">
        <f t="shared" si="13"/>
        <v>Solar</v>
      </c>
      <c r="C79" s="196">
        <f t="shared" si="13"/>
        <v>0</v>
      </c>
      <c r="D79" s="196">
        <f t="shared" si="14"/>
        <v>0</v>
      </c>
      <c r="E79" s="196">
        <f t="shared" si="15"/>
        <v>0</v>
      </c>
      <c r="F79" s="196">
        <f t="shared" si="16"/>
        <v>0</v>
      </c>
      <c r="G79" s="196">
        <f t="shared" si="17"/>
        <v>0</v>
      </c>
      <c r="H79" s="196">
        <f t="shared" si="17"/>
        <v>0</v>
      </c>
      <c r="I79" s="196">
        <f t="shared" si="18"/>
        <v>0</v>
      </c>
      <c r="J79" s="196">
        <f t="shared" si="18"/>
        <v>0</v>
      </c>
      <c r="K79" s="196" t="str">
        <f t="shared" si="19"/>
        <v>Solar</v>
      </c>
      <c r="L79" s="196" t="str">
        <f t="shared" si="20"/>
        <v>Solar</v>
      </c>
      <c r="M79" s="196" t="str">
        <f t="shared" si="21"/>
        <v>YesNewMWHSolar</v>
      </c>
      <c r="N79" s="196" t="str">
        <f t="shared" si="22"/>
        <v>YesNewSolar</v>
      </c>
      <c r="O79" s="196" t="str">
        <f t="shared" si="23"/>
        <v>YesNewMWHSolarno</v>
      </c>
      <c r="P79" s="196" t="str">
        <f t="shared" si="24"/>
        <v>YesNewSolarno</v>
      </c>
      <c r="Q79" s="196" t="str">
        <f t="shared" si="25"/>
        <v>YesNewMWH</v>
      </c>
      <c r="R79" s="259" t="s">
        <v>246</v>
      </c>
      <c r="S79" s="259" t="s">
        <v>625</v>
      </c>
      <c r="T79" s="209">
        <v>2008</v>
      </c>
      <c r="U79" s="259" t="s">
        <v>630</v>
      </c>
      <c r="V79" s="421">
        <v>0.015</v>
      </c>
      <c r="W79" s="421">
        <v>0.015</v>
      </c>
      <c r="X79" s="421"/>
      <c r="Y79" s="421"/>
      <c r="Z79" s="259" t="s">
        <v>195</v>
      </c>
      <c r="AA79" s="422"/>
    </row>
    <row r="80" spans="1:27" ht="13.5" customHeight="1">
      <c r="A80" s="196">
        <f t="shared" si="13"/>
        <v>0</v>
      </c>
      <c r="B80" s="196" t="str">
        <f t="shared" si="13"/>
        <v>Solar</v>
      </c>
      <c r="C80" s="196">
        <f t="shared" si="13"/>
        <v>0</v>
      </c>
      <c r="D80" s="196">
        <f t="shared" si="14"/>
        <v>0</v>
      </c>
      <c r="E80" s="196">
        <f t="shared" si="15"/>
        <v>0</v>
      </c>
      <c r="F80" s="196">
        <f t="shared" si="16"/>
        <v>0</v>
      </c>
      <c r="G80" s="196">
        <f t="shared" si="17"/>
        <v>0</v>
      </c>
      <c r="H80" s="196">
        <f t="shared" si="17"/>
        <v>0</v>
      </c>
      <c r="I80" s="196">
        <f t="shared" si="18"/>
        <v>0</v>
      </c>
      <c r="J80" s="196">
        <f t="shared" si="18"/>
        <v>0</v>
      </c>
      <c r="K80" s="196" t="str">
        <f t="shared" si="19"/>
        <v>Solar</v>
      </c>
      <c r="L80" s="196" t="str">
        <f t="shared" si="20"/>
        <v>Solar</v>
      </c>
      <c r="M80" s="196" t="str">
        <f t="shared" si="21"/>
        <v>YesNewMWHSolar</v>
      </c>
      <c r="N80" s="196" t="str">
        <f t="shared" si="22"/>
        <v>YesNewSolar</v>
      </c>
      <c r="O80" s="196" t="str">
        <f t="shared" si="23"/>
        <v>YesNewMWHSolarYes</v>
      </c>
      <c r="P80" s="196" t="str">
        <f t="shared" si="24"/>
        <v>YesNewSolarYes</v>
      </c>
      <c r="Q80" s="196" t="str">
        <f t="shared" si="25"/>
        <v>YesNewMWH</v>
      </c>
      <c r="R80" s="259" t="s">
        <v>246</v>
      </c>
      <c r="S80" s="259" t="s">
        <v>626</v>
      </c>
      <c r="T80" s="209">
        <v>2005</v>
      </c>
      <c r="U80" s="259" t="s">
        <v>195</v>
      </c>
      <c r="V80" s="421">
        <v>0.015</v>
      </c>
      <c r="W80" s="421">
        <v>0.015</v>
      </c>
      <c r="X80" s="421"/>
      <c r="Y80" s="421"/>
      <c r="Z80" s="259" t="s">
        <v>195</v>
      </c>
      <c r="AA80" s="422"/>
    </row>
    <row r="81" spans="1:27" ht="13.5" customHeight="1">
      <c r="A81" s="196">
        <f t="shared" si="13"/>
        <v>0</v>
      </c>
      <c r="B81" s="196" t="str">
        <f t="shared" si="13"/>
        <v>Solar</v>
      </c>
      <c r="C81" s="196">
        <f t="shared" si="13"/>
        <v>0</v>
      </c>
      <c r="D81" s="196">
        <f t="shared" si="14"/>
        <v>0</v>
      </c>
      <c r="E81" s="196">
        <f t="shared" si="15"/>
        <v>0</v>
      </c>
      <c r="F81" s="196">
        <f t="shared" si="16"/>
        <v>0</v>
      </c>
      <c r="G81" s="196">
        <f t="shared" si="17"/>
        <v>0</v>
      </c>
      <c r="H81" s="196">
        <f t="shared" si="17"/>
        <v>0</v>
      </c>
      <c r="I81" s="196">
        <f t="shared" si="18"/>
        <v>0</v>
      </c>
      <c r="J81" s="196">
        <f t="shared" si="18"/>
        <v>0</v>
      </c>
      <c r="K81" s="196" t="str">
        <f t="shared" si="19"/>
        <v>Solar</v>
      </c>
      <c r="L81" s="196" t="str">
        <f t="shared" si="20"/>
        <v>Solar</v>
      </c>
      <c r="M81" s="196" t="str">
        <f t="shared" si="21"/>
        <v>YesNewMWHSolar</v>
      </c>
      <c r="N81" s="196" t="str">
        <f t="shared" si="22"/>
        <v>YesNewSolar</v>
      </c>
      <c r="O81" s="196" t="str">
        <f t="shared" si="23"/>
        <v>YesNewMWHSolarYes</v>
      </c>
      <c r="P81" s="196" t="str">
        <f t="shared" si="24"/>
        <v>YesNewSolarYes</v>
      </c>
      <c r="Q81" s="196" t="str">
        <f t="shared" si="25"/>
        <v>YesNewMWH</v>
      </c>
      <c r="R81" s="259" t="s">
        <v>246</v>
      </c>
      <c r="S81" s="259" t="s">
        <v>626</v>
      </c>
      <c r="T81" s="209">
        <v>2005</v>
      </c>
      <c r="U81" s="259" t="s">
        <v>195</v>
      </c>
      <c r="V81" s="421">
        <v>0.015</v>
      </c>
      <c r="W81" s="421">
        <v>0.015</v>
      </c>
      <c r="X81" s="421"/>
      <c r="Y81" s="421"/>
      <c r="Z81" s="259" t="s">
        <v>195</v>
      </c>
      <c r="AA81" s="422"/>
    </row>
    <row r="82" spans="1:27" ht="13.5" customHeight="1">
      <c r="A82" s="196">
        <f t="shared" si="13"/>
        <v>0</v>
      </c>
      <c r="B82" s="196" t="str">
        <f t="shared" si="13"/>
        <v>Solar</v>
      </c>
      <c r="C82" s="196">
        <f t="shared" si="13"/>
        <v>0</v>
      </c>
      <c r="D82" s="196">
        <f t="shared" si="14"/>
        <v>0</v>
      </c>
      <c r="E82" s="196">
        <f t="shared" si="15"/>
        <v>0</v>
      </c>
      <c r="F82" s="196">
        <f t="shared" si="16"/>
        <v>0</v>
      </c>
      <c r="G82" s="196">
        <f t="shared" si="17"/>
        <v>0</v>
      </c>
      <c r="H82" s="196">
        <f t="shared" si="17"/>
        <v>0</v>
      </c>
      <c r="I82" s="196">
        <f t="shared" si="18"/>
        <v>0</v>
      </c>
      <c r="J82" s="196">
        <f t="shared" si="18"/>
        <v>0</v>
      </c>
      <c r="K82" s="196" t="str">
        <f t="shared" si="19"/>
        <v>Solar</v>
      </c>
      <c r="L82" s="196" t="str">
        <f t="shared" si="20"/>
        <v>Solar</v>
      </c>
      <c r="M82" s="196" t="str">
        <f t="shared" si="21"/>
        <v>YesNewMWHSolar</v>
      </c>
      <c r="N82" s="196" t="str">
        <f t="shared" si="22"/>
        <v>YesNewSolar</v>
      </c>
      <c r="O82" s="196" t="str">
        <f t="shared" si="23"/>
        <v>YesNewMWHSolarYes</v>
      </c>
      <c r="P82" s="196" t="str">
        <f t="shared" si="24"/>
        <v>YesNewSolarYes</v>
      </c>
      <c r="Q82" s="196" t="str">
        <f t="shared" si="25"/>
        <v>YesNewMWH</v>
      </c>
      <c r="R82" s="259" t="s">
        <v>246</v>
      </c>
      <c r="S82" s="259" t="s">
        <v>626</v>
      </c>
      <c r="T82" s="209">
        <v>2005</v>
      </c>
      <c r="U82" s="259" t="s">
        <v>195</v>
      </c>
      <c r="V82" s="421">
        <v>0.015</v>
      </c>
      <c r="W82" s="421">
        <v>0.015</v>
      </c>
      <c r="X82" s="421"/>
      <c r="Y82" s="421"/>
      <c r="Z82" s="259" t="s">
        <v>195</v>
      </c>
      <c r="AA82" s="422"/>
    </row>
    <row r="83" spans="1:27" ht="13.5" customHeight="1">
      <c r="A83" s="196">
        <f t="shared" si="13"/>
        <v>0</v>
      </c>
      <c r="B83" s="196" t="str">
        <f t="shared" si="13"/>
        <v>Solar</v>
      </c>
      <c r="C83" s="196">
        <f t="shared" si="13"/>
        <v>0</v>
      </c>
      <c r="D83" s="196">
        <f t="shared" si="14"/>
        <v>0</v>
      </c>
      <c r="E83" s="196">
        <f t="shared" si="15"/>
        <v>0</v>
      </c>
      <c r="F83" s="196">
        <f t="shared" si="16"/>
        <v>0</v>
      </c>
      <c r="G83" s="196">
        <f t="shared" si="17"/>
        <v>0</v>
      </c>
      <c r="H83" s="196">
        <f t="shared" si="17"/>
        <v>0</v>
      </c>
      <c r="I83" s="196">
        <f t="shared" si="18"/>
        <v>0</v>
      </c>
      <c r="J83" s="196">
        <f t="shared" si="18"/>
        <v>0</v>
      </c>
      <c r="K83" s="196" t="str">
        <f t="shared" si="19"/>
        <v>Solar</v>
      </c>
      <c r="L83" s="196" t="str">
        <f t="shared" si="20"/>
        <v>Solar</v>
      </c>
      <c r="M83" s="196" t="str">
        <f t="shared" si="21"/>
        <v>YesNewMWHSolar</v>
      </c>
      <c r="N83" s="196" t="str">
        <f t="shared" si="22"/>
        <v>YesNewSolar</v>
      </c>
      <c r="O83" s="196" t="str">
        <f t="shared" si="23"/>
        <v>YesNewMWHSolarYes</v>
      </c>
      <c r="P83" s="196" t="str">
        <f t="shared" si="24"/>
        <v>YesNewSolarYes</v>
      </c>
      <c r="Q83" s="196" t="str">
        <f t="shared" si="25"/>
        <v>YesNewMWH</v>
      </c>
      <c r="R83" s="259" t="s">
        <v>246</v>
      </c>
      <c r="S83" s="259" t="s">
        <v>626</v>
      </c>
      <c r="T83" s="209">
        <v>2005</v>
      </c>
      <c r="U83" s="259" t="s">
        <v>195</v>
      </c>
      <c r="V83" s="421">
        <v>0.015</v>
      </c>
      <c r="W83" s="421">
        <v>0.015</v>
      </c>
      <c r="X83" s="421"/>
      <c r="Y83" s="421"/>
      <c r="Z83" s="259" t="s">
        <v>195</v>
      </c>
      <c r="AA83" s="422"/>
    </row>
    <row r="84" spans="1:27" ht="13.5" customHeight="1">
      <c r="A84" s="196">
        <f t="shared" si="13"/>
        <v>0</v>
      </c>
      <c r="B84" s="196" t="str">
        <f t="shared" si="13"/>
        <v>Solar</v>
      </c>
      <c r="C84" s="196">
        <f t="shared" si="13"/>
        <v>0</v>
      </c>
      <c r="D84" s="196">
        <f t="shared" si="14"/>
        <v>0</v>
      </c>
      <c r="E84" s="196">
        <f t="shared" si="15"/>
        <v>0</v>
      </c>
      <c r="F84" s="196">
        <f t="shared" si="16"/>
        <v>0</v>
      </c>
      <c r="G84" s="196">
        <f t="shared" si="17"/>
        <v>0</v>
      </c>
      <c r="H84" s="196">
        <f t="shared" si="17"/>
        <v>0</v>
      </c>
      <c r="I84" s="196">
        <f t="shared" si="18"/>
        <v>0</v>
      </c>
      <c r="J84" s="196">
        <f t="shared" si="18"/>
        <v>0</v>
      </c>
      <c r="K84" s="196" t="str">
        <f t="shared" si="19"/>
        <v>Solar</v>
      </c>
      <c r="L84" s="196" t="str">
        <f t="shared" si="20"/>
        <v>Solar</v>
      </c>
      <c r="M84" s="196" t="str">
        <f t="shared" si="21"/>
        <v>YesNewMWHSolar</v>
      </c>
      <c r="N84" s="196" t="str">
        <f t="shared" si="22"/>
        <v>YesNewSolar</v>
      </c>
      <c r="O84" s="196" t="str">
        <f t="shared" si="23"/>
        <v>YesNewMWHSolarYes</v>
      </c>
      <c r="P84" s="196" t="str">
        <f t="shared" si="24"/>
        <v>YesNewSolarYes</v>
      </c>
      <c r="Q84" s="196" t="str">
        <f t="shared" si="25"/>
        <v>YesNewMWH</v>
      </c>
      <c r="R84" s="259" t="s">
        <v>246</v>
      </c>
      <c r="S84" s="259" t="s">
        <v>626</v>
      </c>
      <c r="T84" s="209">
        <v>2005</v>
      </c>
      <c r="U84" s="259" t="s">
        <v>195</v>
      </c>
      <c r="V84" s="421">
        <v>0.015</v>
      </c>
      <c r="W84" s="421">
        <v>0.015</v>
      </c>
      <c r="X84" s="421"/>
      <c r="Y84" s="421"/>
      <c r="Z84" s="259" t="s">
        <v>195</v>
      </c>
      <c r="AA84" s="422"/>
    </row>
    <row r="85" spans="1:27" ht="13.5" customHeight="1">
      <c r="A85" s="196">
        <f t="shared" si="13"/>
        <v>0</v>
      </c>
      <c r="B85" s="196" t="str">
        <f t="shared" si="13"/>
        <v>Solar</v>
      </c>
      <c r="C85" s="196">
        <f t="shared" si="13"/>
        <v>0</v>
      </c>
      <c r="D85" s="196">
        <f t="shared" si="14"/>
        <v>0</v>
      </c>
      <c r="E85" s="196">
        <f t="shared" si="15"/>
        <v>0</v>
      </c>
      <c r="F85" s="196">
        <f t="shared" si="16"/>
        <v>0</v>
      </c>
      <c r="G85" s="196">
        <f t="shared" si="17"/>
        <v>0</v>
      </c>
      <c r="H85" s="196">
        <f t="shared" si="17"/>
        <v>0</v>
      </c>
      <c r="I85" s="196">
        <f t="shared" si="18"/>
        <v>0</v>
      </c>
      <c r="J85" s="196">
        <f t="shared" si="18"/>
        <v>0</v>
      </c>
      <c r="K85" s="196" t="str">
        <f t="shared" si="19"/>
        <v>Solar</v>
      </c>
      <c r="L85" s="196" t="str">
        <f t="shared" si="20"/>
        <v>Solar</v>
      </c>
      <c r="M85" s="196" t="str">
        <f t="shared" si="21"/>
        <v>YesNewMWHSolar</v>
      </c>
      <c r="N85" s="196" t="str">
        <f t="shared" si="22"/>
        <v>YesNewSolar</v>
      </c>
      <c r="O85" s="196" t="str">
        <f t="shared" si="23"/>
        <v>YesNewMWHSolarYes</v>
      </c>
      <c r="P85" s="196" t="str">
        <f t="shared" si="24"/>
        <v>YesNewSolarYes</v>
      </c>
      <c r="Q85" s="196" t="str">
        <f t="shared" si="25"/>
        <v>YesNewMWH</v>
      </c>
      <c r="R85" s="259" t="s">
        <v>246</v>
      </c>
      <c r="S85" s="259" t="s">
        <v>626</v>
      </c>
      <c r="T85" s="209">
        <v>2005</v>
      </c>
      <c r="U85" s="259" t="s">
        <v>195</v>
      </c>
      <c r="V85" s="421">
        <v>0.015</v>
      </c>
      <c r="W85" s="421">
        <v>0.015</v>
      </c>
      <c r="X85" s="421"/>
      <c r="Y85" s="421"/>
      <c r="Z85" s="259" t="s">
        <v>195</v>
      </c>
      <c r="AA85" s="422"/>
    </row>
    <row r="86" spans="1:27" ht="13.5" customHeight="1">
      <c r="A86" s="196">
        <f t="shared" si="13"/>
        <v>0</v>
      </c>
      <c r="B86" s="196" t="str">
        <f t="shared" si="13"/>
        <v>Solar</v>
      </c>
      <c r="C86" s="196">
        <f t="shared" si="13"/>
        <v>0</v>
      </c>
      <c r="D86" s="196">
        <f t="shared" si="14"/>
        <v>0</v>
      </c>
      <c r="E86" s="196">
        <f t="shared" si="15"/>
        <v>0</v>
      </c>
      <c r="F86" s="196">
        <f t="shared" si="16"/>
        <v>0</v>
      </c>
      <c r="G86" s="196">
        <f t="shared" si="17"/>
        <v>0</v>
      </c>
      <c r="H86" s="196">
        <f t="shared" si="17"/>
        <v>0</v>
      </c>
      <c r="I86" s="196">
        <f t="shared" si="18"/>
        <v>0</v>
      </c>
      <c r="J86" s="196">
        <f t="shared" si="18"/>
        <v>0</v>
      </c>
      <c r="K86" s="196" t="str">
        <f t="shared" si="19"/>
        <v>Solar</v>
      </c>
      <c r="L86" s="196" t="str">
        <f t="shared" si="20"/>
        <v>Solar</v>
      </c>
      <c r="M86" s="196" t="str">
        <f t="shared" si="21"/>
        <v>YesNewMWHSolar</v>
      </c>
      <c r="N86" s="196" t="str">
        <f t="shared" si="22"/>
        <v>YesNewSolar</v>
      </c>
      <c r="O86" s="196" t="str">
        <f t="shared" si="23"/>
        <v>YesNewMWHSolarYes</v>
      </c>
      <c r="P86" s="196" t="str">
        <f t="shared" si="24"/>
        <v>YesNewSolarYes</v>
      </c>
      <c r="Q86" s="196" t="str">
        <f t="shared" si="25"/>
        <v>YesNewMWH</v>
      </c>
      <c r="R86" s="259" t="s">
        <v>246</v>
      </c>
      <c r="S86" s="259" t="s">
        <v>626</v>
      </c>
      <c r="T86" s="209">
        <v>2005</v>
      </c>
      <c r="U86" s="259" t="s">
        <v>195</v>
      </c>
      <c r="V86" s="421">
        <v>0.015</v>
      </c>
      <c r="W86" s="421">
        <v>0.015</v>
      </c>
      <c r="X86" s="421"/>
      <c r="Y86" s="421"/>
      <c r="Z86" s="259" t="s">
        <v>195</v>
      </c>
      <c r="AA86" s="422"/>
    </row>
    <row r="87" spans="1:27" ht="13.5" customHeight="1">
      <c r="A87" s="196">
        <f t="shared" si="13"/>
        <v>0</v>
      </c>
      <c r="B87" s="196" t="str">
        <f t="shared" si="13"/>
        <v>Solar</v>
      </c>
      <c r="C87" s="196">
        <f t="shared" si="13"/>
        <v>0</v>
      </c>
      <c r="D87" s="196">
        <f t="shared" si="14"/>
        <v>0</v>
      </c>
      <c r="E87" s="196">
        <f t="shared" si="15"/>
        <v>0</v>
      </c>
      <c r="F87" s="196">
        <f t="shared" si="16"/>
        <v>0</v>
      </c>
      <c r="G87" s="196">
        <f t="shared" si="17"/>
        <v>0</v>
      </c>
      <c r="H87" s="196">
        <f t="shared" si="17"/>
        <v>0</v>
      </c>
      <c r="I87" s="196">
        <f t="shared" si="18"/>
        <v>0</v>
      </c>
      <c r="J87" s="196">
        <f t="shared" si="18"/>
        <v>0</v>
      </c>
      <c r="K87" s="196" t="str">
        <f t="shared" si="19"/>
        <v>Solar</v>
      </c>
      <c r="L87" s="196" t="str">
        <f t="shared" si="20"/>
        <v>Solar</v>
      </c>
      <c r="M87" s="196" t="str">
        <f t="shared" si="21"/>
        <v>YesNewMWHSolar</v>
      </c>
      <c r="N87" s="196" t="str">
        <f t="shared" si="22"/>
        <v>YesNewSolar</v>
      </c>
      <c r="O87" s="196" t="str">
        <f t="shared" si="23"/>
        <v>YesNewMWHSolarYes</v>
      </c>
      <c r="P87" s="196" t="str">
        <f t="shared" si="24"/>
        <v>YesNewSolarYes</v>
      </c>
      <c r="Q87" s="196" t="str">
        <f t="shared" si="25"/>
        <v>YesNewMWH</v>
      </c>
      <c r="R87" s="259" t="s">
        <v>246</v>
      </c>
      <c r="S87" s="259" t="s">
        <v>626</v>
      </c>
      <c r="T87" s="209">
        <v>2005</v>
      </c>
      <c r="U87" s="259" t="s">
        <v>195</v>
      </c>
      <c r="V87" s="421">
        <v>0.015</v>
      </c>
      <c r="W87" s="421">
        <v>0.015</v>
      </c>
      <c r="X87" s="421"/>
      <c r="Y87" s="421"/>
      <c r="Z87" s="259" t="s">
        <v>195</v>
      </c>
      <c r="AA87" s="422"/>
    </row>
    <row r="88" spans="1:27" ht="13.5" customHeight="1">
      <c r="A88" s="196">
        <f t="shared" si="13"/>
        <v>0</v>
      </c>
      <c r="B88" s="196" t="str">
        <f t="shared" si="13"/>
        <v>Solar</v>
      </c>
      <c r="C88" s="196">
        <f t="shared" si="13"/>
        <v>0</v>
      </c>
      <c r="D88" s="196">
        <f t="shared" si="14"/>
        <v>0</v>
      </c>
      <c r="E88" s="196">
        <f t="shared" si="15"/>
        <v>0</v>
      </c>
      <c r="F88" s="196">
        <f t="shared" si="16"/>
        <v>0</v>
      </c>
      <c r="G88" s="196">
        <f t="shared" si="17"/>
        <v>0</v>
      </c>
      <c r="H88" s="196">
        <f t="shared" si="17"/>
        <v>0</v>
      </c>
      <c r="I88" s="196">
        <f t="shared" si="18"/>
        <v>0</v>
      </c>
      <c r="J88" s="196">
        <f t="shared" si="18"/>
        <v>0</v>
      </c>
      <c r="K88" s="196" t="str">
        <f t="shared" si="19"/>
        <v>Solar</v>
      </c>
      <c r="L88" s="196" t="str">
        <f t="shared" si="20"/>
        <v>Solar</v>
      </c>
      <c r="M88" s="196" t="str">
        <f t="shared" si="21"/>
        <v>YesNewMWHSolar</v>
      </c>
      <c r="N88" s="196" t="str">
        <f t="shared" si="22"/>
        <v>YesNewSolar</v>
      </c>
      <c r="O88" s="196" t="str">
        <f t="shared" si="23"/>
        <v>YesNewMWHSolarYes</v>
      </c>
      <c r="P88" s="196" t="str">
        <f t="shared" si="24"/>
        <v>YesNewSolarYes</v>
      </c>
      <c r="Q88" s="196" t="str">
        <f t="shared" si="25"/>
        <v>YesNewMWH</v>
      </c>
      <c r="R88" s="259" t="s">
        <v>246</v>
      </c>
      <c r="S88" s="259" t="s">
        <v>626</v>
      </c>
      <c r="T88" s="209">
        <v>2009</v>
      </c>
      <c r="U88" s="259" t="s">
        <v>195</v>
      </c>
      <c r="V88" s="421">
        <v>0.015</v>
      </c>
      <c r="W88" s="421">
        <v>0.015</v>
      </c>
      <c r="X88" s="421"/>
      <c r="Y88" s="421"/>
      <c r="Z88" s="259" t="s">
        <v>195</v>
      </c>
      <c r="AA88" s="422"/>
    </row>
    <row r="89" spans="1:27" ht="13.5" customHeight="1">
      <c r="A89" s="196">
        <f t="shared" si="13"/>
        <v>0</v>
      </c>
      <c r="B89" s="196" t="str">
        <f t="shared" si="13"/>
        <v>Solar</v>
      </c>
      <c r="C89" s="196">
        <f t="shared" si="13"/>
        <v>0</v>
      </c>
      <c r="D89" s="196">
        <f t="shared" si="14"/>
        <v>0</v>
      </c>
      <c r="E89" s="196">
        <f t="shared" si="15"/>
        <v>0</v>
      </c>
      <c r="F89" s="196">
        <f t="shared" si="16"/>
        <v>0</v>
      </c>
      <c r="G89" s="196">
        <f t="shared" si="17"/>
        <v>0</v>
      </c>
      <c r="H89" s="196">
        <f t="shared" si="17"/>
        <v>0</v>
      </c>
      <c r="I89" s="196">
        <f t="shared" si="18"/>
        <v>0</v>
      </c>
      <c r="J89" s="196">
        <f t="shared" si="18"/>
        <v>0</v>
      </c>
      <c r="K89" s="196" t="str">
        <f t="shared" si="19"/>
        <v>Solar</v>
      </c>
      <c r="L89" s="196" t="str">
        <f t="shared" si="20"/>
        <v>Solar</v>
      </c>
      <c r="M89" s="196" t="str">
        <f t="shared" si="21"/>
        <v>YesNewMWHSolar</v>
      </c>
      <c r="N89" s="196" t="str">
        <f t="shared" si="22"/>
        <v>YesNewSolar</v>
      </c>
      <c r="O89" s="196" t="str">
        <f t="shared" si="23"/>
        <v>YesNewMWHSolarYes</v>
      </c>
      <c r="P89" s="196" t="str">
        <f t="shared" si="24"/>
        <v>YesNewSolarYes</v>
      </c>
      <c r="Q89" s="196" t="str">
        <f t="shared" si="25"/>
        <v>YesNewMWH</v>
      </c>
      <c r="R89" s="259" t="s">
        <v>246</v>
      </c>
      <c r="S89" s="259" t="s">
        <v>626</v>
      </c>
      <c r="T89" s="209">
        <v>2009</v>
      </c>
      <c r="U89" s="259" t="s">
        <v>195</v>
      </c>
      <c r="V89" s="421">
        <v>0.015</v>
      </c>
      <c r="W89" s="421">
        <v>0.015</v>
      </c>
      <c r="X89" s="421"/>
      <c r="Y89" s="421"/>
      <c r="Z89" s="259" t="s">
        <v>195</v>
      </c>
      <c r="AA89" s="422"/>
    </row>
    <row r="90" spans="1:27" ht="13.5" customHeight="1">
      <c r="A90" s="196">
        <f t="shared" si="13"/>
        <v>0</v>
      </c>
      <c r="B90" s="196" t="str">
        <f t="shared" si="13"/>
        <v>Solar</v>
      </c>
      <c r="C90" s="196">
        <f t="shared" si="13"/>
        <v>0</v>
      </c>
      <c r="D90" s="196">
        <f t="shared" si="14"/>
        <v>0</v>
      </c>
      <c r="E90" s="196">
        <f t="shared" si="15"/>
        <v>0</v>
      </c>
      <c r="F90" s="196">
        <f t="shared" si="16"/>
        <v>0</v>
      </c>
      <c r="G90" s="196">
        <f t="shared" si="17"/>
        <v>0</v>
      </c>
      <c r="H90" s="196">
        <f t="shared" si="17"/>
        <v>0</v>
      </c>
      <c r="I90" s="196">
        <f t="shared" si="18"/>
        <v>0</v>
      </c>
      <c r="J90" s="196">
        <f t="shared" si="18"/>
        <v>0</v>
      </c>
      <c r="K90" s="196" t="str">
        <f t="shared" si="19"/>
        <v>Solar</v>
      </c>
      <c r="L90" s="196" t="str">
        <f t="shared" si="20"/>
        <v>Solar</v>
      </c>
      <c r="M90" s="196" t="str">
        <f t="shared" si="21"/>
        <v>YesNewMWHSolar</v>
      </c>
      <c r="N90" s="196" t="str">
        <f t="shared" si="22"/>
        <v>YesNewSolar</v>
      </c>
      <c r="O90" s="196" t="str">
        <f t="shared" si="23"/>
        <v>YesNewMWHSolarYes</v>
      </c>
      <c r="P90" s="196" t="str">
        <f t="shared" si="24"/>
        <v>YesNewSolarYes</v>
      </c>
      <c r="Q90" s="196" t="str">
        <f t="shared" si="25"/>
        <v>YesNewMWH</v>
      </c>
      <c r="R90" s="259" t="s">
        <v>246</v>
      </c>
      <c r="S90" s="259" t="s">
        <v>626</v>
      </c>
      <c r="T90" s="209">
        <v>2005</v>
      </c>
      <c r="U90" s="259" t="s">
        <v>195</v>
      </c>
      <c r="V90" s="421">
        <v>0.03</v>
      </c>
      <c r="W90" s="421">
        <v>0.03</v>
      </c>
      <c r="X90" s="421"/>
      <c r="Y90" s="421"/>
      <c r="Z90" s="259" t="s">
        <v>195</v>
      </c>
      <c r="AA90" s="422"/>
    </row>
    <row r="91" spans="1:27" ht="13.5" customHeight="1">
      <c r="A91" s="196">
        <f t="shared" si="13"/>
        <v>0</v>
      </c>
      <c r="B91" s="196" t="str">
        <f t="shared" si="13"/>
        <v>Solar</v>
      </c>
      <c r="C91" s="196">
        <f t="shared" si="13"/>
        <v>0</v>
      </c>
      <c r="D91" s="196">
        <f t="shared" si="14"/>
        <v>0</v>
      </c>
      <c r="E91" s="196">
        <f t="shared" si="15"/>
        <v>0</v>
      </c>
      <c r="F91" s="196">
        <f t="shared" si="16"/>
        <v>0</v>
      </c>
      <c r="G91" s="196">
        <f t="shared" si="17"/>
        <v>0</v>
      </c>
      <c r="H91" s="196">
        <f t="shared" si="17"/>
        <v>0</v>
      </c>
      <c r="I91" s="196">
        <f t="shared" si="18"/>
        <v>0</v>
      </c>
      <c r="J91" s="196">
        <f t="shared" si="18"/>
        <v>0</v>
      </c>
      <c r="K91" s="196" t="str">
        <f t="shared" si="19"/>
        <v>Solar</v>
      </c>
      <c r="L91" s="196" t="str">
        <f t="shared" si="20"/>
        <v>Solar</v>
      </c>
      <c r="M91" s="196" t="str">
        <f t="shared" si="21"/>
        <v>YesNewMWHSolar</v>
      </c>
      <c r="N91" s="196" t="str">
        <f t="shared" si="22"/>
        <v>YesNewSolar</v>
      </c>
      <c r="O91" s="196" t="str">
        <f t="shared" si="23"/>
        <v>YesNewMWHSolarYes</v>
      </c>
      <c r="P91" s="196" t="str">
        <f t="shared" si="24"/>
        <v>YesNewSolarYes</v>
      </c>
      <c r="Q91" s="196" t="str">
        <f t="shared" si="25"/>
        <v>YesNewMWH</v>
      </c>
      <c r="R91" s="259" t="s">
        <v>246</v>
      </c>
      <c r="S91" s="259" t="s">
        <v>626</v>
      </c>
      <c r="T91" s="209">
        <v>2009</v>
      </c>
      <c r="U91" s="259" t="s">
        <v>195</v>
      </c>
      <c r="V91" s="421">
        <v>0.03</v>
      </c>
      <c r="W91" s="421">
        <v>0.03</v>
      </c>
      <c r="X91" s="421"/>
      <c r="Y91" s="421"/>
      <c r="Z91" s="259" t="s">
        <v>195</v>
      </c>
      <c r="AA91" s="422"/>
    </row>
    <row r="92" spans="1:27" ht="13.5" customHeight="1">
      <c r="A92" s="196">
        <f t="shared" si="13"/>
        <v>0</v>
      </c>
      <c r="B92" s="196" t="str">
        <f t="shared" si="13"/>
        <v>Solar</v>
      </c>
      <c r="C92" s="196">
        <f t="shared" si="13"/>
        <v>0</v>
      </c>
      <c r="D92" s="196">
        <f t="shared" si="14"/>
        <v>0</v>
      </c>
      <c r="E92" s="196">
        <f t="shared" si="15"/>
        <v>0</v>
      </c>
      <c r="F92" s="196">
        <f t="shared" si="16"/>
        <v>0</v>
      </c>
      <c r="G92" s="196">
        <f t="shared" si="17"/>
        <v>0</v>
      </c>
      <c r="H92" s="196">
        <f t="shared" si="17"/>
        <v>0</v>
      </c>
      <c r="I92" s="196">
        <f t="shared" si="18"/>
        <v>0</v>
      </c>
      <c r="J92" s="196">
        <f t="shared" si="18"/>
        <v>0</v>
      </c>
      <c r="K92" s="196" t="str">
        <f t="shared" si="19"/>
        <v>Solar</v>
      </c>
      <c r="L92" s="196" t="str">
        <f t="shared" si="20"/>
        <v>Solar</v>
      </c>
      <c r="M92" s="196" t="str">
        <f t="shared" si="21"/>
        <v>YesNewMWHSolar</v>
      </c>
      <c r="N92" s="196" t="str">
        <f t="shared" si="22"/>
        <v>YesNewSolar</v>
      </c>
      <c r="O92" s="196" t="str">
        <f t="shared" si="23"/>
        <v>YesNewMWHSolarYes</v>
      </c>
      <c r="P92" s="196" t="str">
        <f t="shared" si="24"/>
        <v>YesNewSolarYes</v>
      </c>
      <c r="Q92" s="196" t="str">
        <f t="shared" si="25"/>
        <v>YesNewMWH</v>
      </c>
      <c r="R92" s="259" t="s">
        <v>246</v>
      </c>
      <c r="S92" s="259" t="s">
        <v>626</v>
      </c>
      <c r="T92" s="209">
        <v>2009</v>
      </c>
      <c r="U92" s="259" t="s">
        <v>195</v>
      </c>
      <c r="V92" s="421">
        <v>0.015</v>
      </c>
      <c r="W92" s="421">
        <v>0.015</v>
      </c>
      <c r="X92" s="421"/>
      <c r="Y92" s="421"/>
      <c r="Z92" s="259" t="s">
        <v>195</v>
      </c>
      <c r="AA92" s="422"/>
    </row>
    <row r="93" spans="1:27" ht="13.5" customHeight="1">
      <c r="A93" s="196">
        <f t="shared" si="13"/>
        <v>0</v>
      </c>
      <c r="B93" s="196" t="str">
        <f t="shared" si="13"/>
        <v>Solar</v>
      </c>
      <c r="C93" s="196">
        <f t="shared" si="13"/>
        <v>0</v>
      </c>
      <c r="D93" s="196">
        <f t="shared" si="14"/>
        <v>0</v>
      </c>
      <c r="E93" s="196">
        <f t="shared" si="15"/>
        <v>0</v>
      </c>
      <c r="F93" s="196">
        <f t="shared" si="16"/>
        <v>0</v>
      </c>
      <c r="G93" s="196">
        <f t="shared" si="17"/>
        <v>0</v>
      </c>
      <c r="H93" s="196">
        <f t="shared" si="17"/>
        <v>0</v>
      </c>
      <c r="I93" s="196">
        <f t="shared" si="18"/>
        <v>0</v>
      </c>
      <c r="J93" s="196">
        <f t="shared" si="18"/>
        <v>0</v>
      </c>
      <c r="K93" s="196" t="str">
        <f t="shared" si="19"/>
        <v>Solar</v>
      </c>
      <c r="L93" s="196" t="str">
        <f t="shared" si="20"/>
        <v>Solar</v>
      </c>
      <c r="M93" s="196" t="str">
        <f t="shared" si="21"/>
        <v>YesNewMWHSolar</v>
      </c>
      <c r="N93" s="196" t="str">
        <f t="shared" si="22"/>
        <v>YesNewSolar</v>
      </c>
      <c r="O93" s="196" t="str">
        <f t="shared" si="23"/>
        <v>YesNewMWHSolarYes</v>
      </c>
      <c r="P93" s="196" t="str">
        <f t="shared" si="24"/>
        <v>YesNewSolarYes</v>
      </c>
      <c r="Q93" s="196" t="str">
        <f t="shared" si="25"/>
        <v>YesNewMWH</v>
      </c>
      <c r="R93" s="259" t="s">
        <v>246</v>
      </c>
      <c r="S93" s="259" t="s">
        <v>626</v>
      </c>
      <c r="T93" s="209">
        <v>2009</v>
      </c>
      <c r="U93" s="259" t="s">
        <v>195</v>
      </c>
      <c r="V93" s="421">
        <v>0.015</v>
      </c>
      <c r="W93" s="421">
        <v>0.015</v>
      </c>
      <c r="X93" s="421"/>
      <c r="Y93" s="421"/>
      <c r="Z93" s="259" t="s">
        <v>195</v>
      </c>
      <c r="AA93" s="422"/>
    </row>
    <row r="94" spans="1:27" ht="13.5" customHeight="1">
      <c r="A94" s="196">
        <f t="shared" si="13"/>
        <v>0</v>
      </c>
      <c r="B94" s="196" t="str">
        <f t="shared" si="13"/>
        <v>Solar</v>
      </c>
      <c r="C94" s="196">
        <f t="shared" si="13"/>
        <v>0</v>
      </c>
      <c r="D94" s="196">
        <f t="shared" si="14"/>
        <v>0</v>
      </c>
      <c r="E94" s="196">
        <f t="shared" si="15"/>
        <v>0</v>
      </c>
      <c r="F94" s="196">
        <f t="shared" si="16"/>
        <v>0</v>
      </c>
      <c r="G94" s="196">
        <f t="shared" si="17"/>
        <v>0</v>
      </c>
      <c r="H94" s="196">
        <f t="shared" si="17"/>
        <v>0</v>
      </c>
      <c r="I94" s="196">
        <f t="shared" si="18"/>
        <v>0</v>
      </c>
      <c r="J94" s="196">
        <f t="shared" si="18"/>
        <v>0</v>
      </c>
      <c r="K94" s="196" t="str">
        <f t="shared" si="19"/>
        <v>Solar</v>
      </c>
      <c r="L94" s="196" t="str">
        <f t="shared" si="20"/>
        <v>Solar</v>
      </c>
      <c r="M94" s="196" t="str">
        <f t="shared" si="21"/>
        <v>YesNewMWHSolar</v>
      </c>
      <c r="N94" s="196" t="str">
        <f t="shared" si="22"/>
        <v>YesNewSolar</v>
      </c>
      <c r="O94" s="196" t="str">
        <f t="shared" si="23"/>
        <v>YesNewMWHSolarYes</v>
      </c>
      <c r="P94" s="196" t="str">
        <f t="shared" si="24"/>
        <v>YesNewSolarYes</v>
      </c>
      <c r="Q94" s="196" t="str">
        <f t="shared" si="25"/>
        <v>YesNewMWH</v>
      </c>
      <c r="R94" s="259" t="s">
        <v>246</v>
      </c>
      <c r="S94" s="259" t="s">
        <v>627</v>
      </c>
      <c r="T94" s="209">
        <v>2008</v>
      </c>
      <c r="U94" s="259" t="s">
        <v>195</v>
      </c>
      <c r="V94" s="421">
        <v>0.02</v>
      </c>
      <c r="W94" s="421">
        <v>0.02</v>
      </c>
      <c r="X94" s="421"/>
      <c r="Y94" s="421"/>
      <c r="Z94" s="259" t="s">
        <v>195</v>
      </c>
      <c r="AA94" s="422"/>
    </row>
    <row r="95" spans="1:27" ht="13.5" customHeight="1">
      <c r="A95" s="196">
        <f t="shared" si="13"/>
        <v>0</v>
      </c>
      <c r="B95" s="196" t="str">
        <f t="shared" si="13"/>
        <v>Solar</v>
      </c>
      <c r="C95" s="196">
        <f t="shared" si="13"/>
        <v>0</v>
      </c>
      <c r="D95" s="196">
        <f t="shared" si="14"/>
        <v>0</v>
      </c>
      <c r="E95" s="196">
        <f t="shared" si="15"/>
        <v>0</v>
      </c>
      <c r="F95" s="196">
        <f t="shared" si="16"/>
        <v>0</v>
      </c>
      <c r="G95" s="196">
        <f t="shared" si="17"/>
        <v>0</v>
      </c>
      <c r="H95" s="196">
        <f t="shared" si="17"/>
        <v>0</v>
      </c>
      <c r="I95" s="196">
        <f t="shared" si="18"/>
        <v>0</v>
      </c>
      <c r="J95" s="196">
        <f t="shared" si="18"/>
        <v>0</v>
      </c>
      <c r="K95" s="196" t="str">
        <f t="shared" si="19"/>
        <v>Solar</v>
      </c>
      <c r="L95" s="196" t="str">
        <f t="shared" si="20"/>
        <v>Solar</v>
      </c>
      <c r="M95" s="196" t="str">
        <f t="shared" si="21"/>
        <v>YesNewMWHSolar</v>
      </c>
      <c r="N95" s="196" t="str">
        <f t="shared" si="22"/>
        <v>YesNewSolar</v>
      </c>
      <c r="O95" s="196" t="str">
        <f t="shared" si="23"/>
        <v>YesNewMWHSolarYes</v>
      </c>
      <c r="P95" s="196" t="str">
        <f t="shared" si="24"/>
        <v>YesNewSolarYes</v>
      </c>
      <c r="Q95" s="196" t="str">
        <f t="shared" si="25"/>
        <v>YesNewMWH</v>
      </c>
      <c r="R95" s="259" t="s">
        <v>246</v>
      </c>
      <c r="S95" s="259" t="s">
        <v>627</v>
      </c>
      <c r="T95" s="209">
        <v>2008</v>
      </c>
      <c r="U95" s="259" t="s">
        <v>195</v>
      </c>
      <c r="V95" s="421">
        <v>0.01</v>
      </c>
      <c r="W95" s="421">
        <v>0.01</v>
      </c>
      <c r="X95" s="421"/>
      <c r="Y95" s="421"/>
      <c r="Z95" s="259" t="s">
        <v>195</v>
      </c>
      <c r="AA95" s="422"/>
    </row>
    <row r="96" spans="1:27" ht="13.5" customHeight="1">
      <c r="A96" s="196">
        <f t="shared" si="13"/>
        <v>0</v>
      </c>
      <c r="B96" s="196" t="str">
        <f t="shared" si="13"/>
        <v>Solar</v>
      </c>
      <c r="C96" s="196">
        <f t="shared" si="13"/>
        <v>0</v>
      </c>
      <c r="D96" s="196">
        <f t="shared" si="14"/>
        <v>0</v>
      </c>
      <c r="E96" s="196">
        <f t="shared" si="15"/>
        <v>0</v>
      </c>
      <c r="F96" s="196">
        <f t="shared" si="16"/>
        <v>0</v>
      </c>
      <c r="G96" s="196">
        <f t="shared" si="17"/>
        <v>0</v>
      </c>
      <c r="H96" s="196">
        <f t="shared" si="17"/>
        <v>0</v>
      </c>
      <c r="I96" s="196">
        <f t="shared" si="18"/>
        <v>0</v>
      </c>
      <c r="J96" s="196">
        <f t="shared" si="18"/>
        <v>0</v>
      </c>
      <c r="K96" s="196" t="str">
        <f t="shared" si="19"/>
        <v>Solar</v>
      </c>
      <c r="L96" s="196" t="str">
        <f t="shared" si="20"/>
        <v>Solar</v>
      </c>
      <c r="M96" s="196" t="str">
        <f t="shared" si="21"/>
        <v>YesNewMWHSolar</v>
      </c>
      <c r="N96" s="196" t="str">
        <f t="shared" si="22"/>
        <v>YesNewSolar</v>
      </c>
      <c r="O96" s="196" t="str">
        <f t="shared" si="23"/>
        <v>YesNewMWHSolarYes</v>
      </c>
      <c r="P96" s="196" t="str">
        <f t="shared" si="24"/>
        <v>YesNewSolarYes</v>
      </c>
      <c r="Q96" s="196" t="str">
        <f t="shared" si="25"/>
        <v>YesNewMWH</v>
      </c>
      <c r="R96" s="259" t="s">
        <v>246</v>
      </c>
      <c r="S96" s="259" t="s">
        <v>628</v>
      </c>
      <c r="T96" s="209">
        <v>2007</v>
      </c>
      <c r="U96" s="259" t="s">
        <v>195</v>
      </c>
      <c r="V96" s="421">
        <v>0.01</v>
      </c>
      <c r="W96" s="421">
        <v>0.01</v>
      </c>
      <c r="X96" s="421"/>
      <c r="Y96" s="421"/>
      <c r="Z96" s="259" t="s">
        <v>195</v>
      </c>
      <c r="AA96" s="422"/>
    </row>
    <row r="97" spans="1:27" ht="13.5" customHeight="1">
      <c r="A97" s="196">
        <f t="shared" si="13"/>
        <v>0</v>
      </c>
      <c r="B97" s="196" t="str">
        <f t="shared" si="13"/>
        <v>Solar</v>
      </c>
      <c r="C97" s="196">
        <f t="shared" si="13"/>
        <v>0</v>
      </c>
      <c r="D97" s="196">
        <f t="shared" si="14"/>
        <v>0</v>
      </c>
      <c r="E97" s="196">
        <f t="shared" si="15"/>
        <v>0</v>
      </c>
      <c r="F97" s="196">
        <f t="shared" si="16"/>
        <v>0</v>
      </c>
      <c r="G97" s="196">
        <f t="shared" si="17"/>
        <v>0</v>
      </c>
      <c r="H97" s="196">
        <f t="shared" si="17"/>
        <v>0</v>
      </c>
      <c r="I97" s="196">
        <f t="shared" si="18"/>
        <v>0</v>
      </c>
      <c r="J97" s="196">
        <f t="shared" si="18"/>
        <v>0</v>
      </c>
      <c r="K97" s="196" t="str">
        <f t="shared" si="19"/>
        <v>Solar</v>
      </c>
      <c r="L97" s="196" t="str">
        <f t="shared" si="20"/>
        <v>Solar</v>
      </c>
      <c r="M97" s="196" t="str">
        <f t="shared" si="21"/>
        <v>YesNewMWHSolar</v>
      </c>
      <c r="N97" s="196" t="str">
        <f t="shared" si="22"/>
        <v>YesNewSolar</v>
      </c>
      <c r="O97" s="196" t="str">
        <f t="shared" si="23"/>
        <v>YesNewMWHSolarYes</v>
      </c>
      <c r="P97" s="196" t="str">
        <f t="shared" si="24"/>
        <v>YesNewSolarYes</v>
      </c>
      <c r="Q97" s="196" t="str">
        <f t="shared" si="25"/>
        <v>YesNewMWH</v>
      </c>
      <c r="R97" s="259" t="s">
        <v>246</v>
      </c>
      <c r="S97" s="259" t="s">
        <v>631</v>
      </c>
      <c r="T97" s="209">
        <v>2001</v>
      </c>
      <c r="U97" s="259" t="s">
        <v>195</v>
      </c>
      <c r="V97" s="421">
        <v>0.48</v>
      </c>
      <c r="W97" s="421">
        <v>0.48</v>
      </c>
      <c r="X97" s="421"/>
      <c r="Y97" s="421"/>
      <c r="Z97" s="259" t="s">
        <v>195</v>
      </c>
      <c r="AA97" s="422"/>
    </row>
    <row r="98" spans="1:27" ht="13.5" customHeight="1">
      <c r="A98" s="196">
        <f t="shared" si="13"/>
        <v>0</v>
      </c>
      <c r="B98" s="196" t="str">
        <f t="shared" si="13"/>
        <v>Solar</v>
      </c>
      <c r="C98" s="196">
        <f t="shared" si="13"/>
        <v>0</v>
      </c>
      <c r="D98" s="196">
        <f t="shared" si="14"/>
        <v>0</v>
      </c>
      <c r="E98" s="196">
        <f t="shared" si="15"/>
        <v>0</v>
      </c>
      <c r="F98" s="196">
        <f t="shared" si="16"/>
        <v>0</v>
      </c>
      <c r="G98" s="196">
        <f t="shared" si="17"/>
        <v>0</v>
      </c>
      <c r="H98" s="196">
        <f t="shared" si="17"/>
        <v>0</v>
      </c>
      <c r="I98" s="196">
        <f t="shared" si="18"/>
        <v>0</v>
      </c>
      <c r="J98" s="196">
        <f t="shared" si="18"/>
        <v>0</v>
      </c>
      <c r="K98" s="196" t="str">
        <f t="shared" si="19"/>
        <v>Solar</v>
      </c>
      <c r="L98" s="196" t="str">
        <f t="shared" si="20"/>
        <v>Solar</v>
      </c>
      <c r="M98" s="196" t="str">
        <f t="shared" si="21"/>
        <v>YesNewMWHSolar</v>
      </c>
      <c r="N98" s="196" t="str">
        <f t="shared" si="22"/>
        <v>YesNewSolar</v>
      </c>
      <c r="O98" s="196" t="str">
        <f t="shared" si="23"/>
        <v>YesNewMWHSolarYes</v>
      </c>
      <c r="P98" s="196" t="str">
        <f t="shared" si="24"/>
        <v>YesNewSolarYes</v>
      </c>
      <c r="Q98" s="196" t="str">
        <f t="shared" si="25"/>
        <v>YesNewMWH</v>
      </c>
      <c r="R98" s="259" t="s">
        <v>246</v>
      </c>
      <c r="S98" s="259" t="s">
        <v>631</v>
      </c>
      <c r="T98" s="209">
        <v>2006</v>
      </c>
      <c r="U98" s="259" t="s">
        <v>195</v>
      </c>
      <c r="V98" s="421">
        <v>0.45</v>
      </c>
      <c r="W98" s="421">
        <v>0.45</v>
      </c>
      <c r="X98" s="421"/>
      <c r="Y98" s="421"/>
      <c r="Z98" s="259" t="s">
        <v>195</v>
      </c>
      <c r="AA98" s="422"/>
    </row>
    <row r="99" spans="1:27" ht="13.5" customHeight="1">
      <c r="A99" s="196">
        <f t="shared" si="13"/>
        <v>0</v>
      </c>
      <c r="B99" s="196" t="str">
        <f t="shared" si="13"/>
        <v>Solar</v>
      </c>
      <c r="C99" s="196">
        <f t="shared" si="13"/>
        <v>0</v>
      </c>
      <c r="D99" s="196">
        <f t="shared" si="14"/>
        <v>0</v>
      </c>
      <c r="E99" s="196">
        <f t="shared" si="15"/>
        <v>0</v>
      </c>
      <c r="F99" s="196">
        <f t="shared" si="16"/>
        <v>0</v>
      </c>
      <c r="G99" s="196">
        <f t="shared" si="17"/>
        <v>0</v>
      </c>
      <c r="H99" s="196">
        <f t="shared" si="17"/>
        <v>0</v>
      </c>
      <c r="I99" s="196">
        <f t="shared" si="18"/>
        <v>0</v>
      </c>
      <c r="J99" s="196">
        <f t="shared" si="18"/>
        <v>0</v>
      </c>
      <c r="K99" s="196" t="str">
        <f t="shared" si="19"/>
        <v>Solar</v>
      </c>
      <c r="L99" s="196" t="str">
        <f t="shared" si="20"/>
        <v>Solar</v>
      </c>
      <c r="M99" s="196" t="str">
        <f t="shared" si="21"/>
        <v>YesNewMWHSolar</v>
      </c>
      <c r="N99" s="196" t="str">
        <f t="shared" si="22"/>
        <v>YesNewSolar</v>
      </c>
      <c r="O99" s="196" t="str">
        <f t="shared" si="23"/>
        <v>YesNewMWHSolarYes</v>
      </c>
      <c r="P99" s="196" t="str">
        <f t="shared" si="24"/>
        <v>YesNewSolarYes</v>
      </c>
      <c r="Q99" s="196" t="str">
        <f t="shared" si="25"/>
        <v>YesNewMWH</v>
      </c>
      <c r="R99" s="259" t="s">
        <v>246</v>
      </c>
      <c r="S99" s="259" t="s">
        <v>637</v>
      </c>
      <c r="T99" s="209">
        <v>2007</v>
      </c>
      <c r="U99" s="259" t="s">
        <v>195</v>
      </c>
      <c r="V99" s="421">
        <v>0.81</v>
      </c>
      <c r="W99" s="421">
        <v>0.81</v>
      </c>
      <c r="X99" s="421"/>
      <c r="Y99" s="421"/>
      <c r="Z99" s="259" t="s">
        <v>195</v>
      </c>
      <c r="AA99" s="422"/>
    </row>
    <row r="100" spans="1:27" ht="13.5" customHeight="1">
      <c r="A100" s="196">
        <f t="shared" si="13"/>
        <v>0</v>
      </c>
      <c r="B100" s="196" t="str">
        <f t="shared" si="13"/>
        <v>Solar</v>
      </c>
      <c r="C100" s="196">
        <f t="shared" si="13"/>
        <v>0</v>
      </c>
      <c r="D100" s="196">
        <f t="shared" si="14"/>
        <v>0</v>
      </c>
      <c r="E100" s="196">
        <f t="shared" si="15"/>
        <v>0</v>
      </c>
      <c r="F100" s="196">
        <f t="shared" si="16"/>
        <v>0</v>
      </c>
      <c r="G100" s="196">
        <f t="shared" si="17"/>
        <v>0</v>
      </c>
      <c r="H100" s="196">
        <f t="shared" si="17"/>
        <v>0</v>
      </c>
      <c r="I100" s="196">
        <f t="shared" si="18"/>
        <v>0</v>
      </c>
      <c r="J100" s="196">
        <f t="shared" si="18"/>
        <v>0</v>
      </c>
      <c r="K100" s="196" t="str">
        <f t="shared" si="19"/>
        <v>Solar</v>
      </c>
      <c r="L100" s="196" t="str">
        <f t="shared" si="20"/>
        <v>Solar</v>
      </c>
      <c r="M100" s="196" t="str">
        <f t="shared" si="21"/>
        <v>YesNewMWHSolar</v>
      </c>
      <c r="N100" s="196" t="str">
        <f t="shared" si="22"/>
        <v>YesNewSolar</v>
      </c>
      <c r="O100" s="196" t="str">
        <f t="shared" si="23"/>
        <v>YesNewMWHSolarYes</v>
      </c>
      <c r="P100" s="196" t="str">
        <f t="shared" si="24"/>
        <v>YesNewSolarYes</v>
      </c>
      <c r="Q100" s="196" t="str">
        <f t="shared" si="25"/>
        <v>YesNewMWH</v>
      </c>
      <c r="R100" s="259" t="s">
        <v>246</v>
      </c>
      <c r="S100" s="259" t="s">
        <v>637</v>
      </c>
      <c r="T100" s="209">
        <v>2008</v>
      </c>
      <c r="U100" s="259" t="s">
        <v>195</v>
      </c>
      <c r="V100" s="421">
        <v>0.81</v>
      </c>
      <c r="W100" s="421">
        <v>0.81</v>
      </c>
      <c r="X100" s="421"/>
      <c r="Y100" s="421"/>
      <c r="Z100" s="259" t="s">
        <v>195</v>
      </c>
      <c r="AA100" s="422"/>
    </row>
    <row r="101" spans="1:27" ht="13.5" customHeight="1">
      <c r="A101" s="196">
        <f t="shared" si="13"/>
        <v>0</v>
      </c>
      <c r="B101" s="196" t="str">
        <f t="shared" si="13"/>
        <v>Solar</v>
      </c>
      <c r="C101" s="196">
        <f t="shared" si="13"/>
        <v>0</v>
      </c>
      <c r="D101" s="196">
        <f t="shared" si="14"/>
        <v>0</v>
      </c>
      <c r="E101" s="196">
        <f t="shared" si="15"/>
        <v>0</v>
      </c>
      <c r="F101" s="196">
        <f t="shared" si="16"/>
        <v>0</v>
      </c>
      <c r="G101" s="196">
        <f t="shared" si="17"/>
        <v>0</v>
      </c>
      <c r="H101" s="196">
        <f t="shared" si="17"/>
        <v>0</v>
      </c>
      <c r="I101" s="196">
        <f t="shared" si="18"/>
        <v>0</v>
      </c>
      <c r="J101" s="196">
        <f t="shared" si="18"/>
        <v>0</v>
      </c>
      <c r="K101" s="196" t="str">
        <f t="shared" si="19"/>
        <v>Solar</v>
      </c>
      <c r="L101" s="196" t="str">
        <f t="shared" si="20"/>
        <v>Solar</v>
      </c>
      <c r="M101" s="196" t="str">
        <f t="shared" si="21"/>
        <v>YesNewMWHSolar</v>
      </c>
      <c r="N101" s="196" t="str">
        <f t="shared" si="22"/>
        <v>YesNewSolar</v>
      </c>
      <c r="O101" s="196" t="str">
        <f t="shared" si="23"/>
        <v>YesNewMWHSolarYes</v>
      </c>
      <c r="P101" s="196" t="str">
        <f t="shared" si="24"/>
        <v>YesNewSolarYes</v>
      </c>
      <c r="Q101" s="196" t="str">
        <f t="shared" si="25"/>
        <v>YesNewMWH</v>
      </c>
      <c r="R101" s="259" t="s">
        <v>246</v>
      </c>
      <c r="S101" s="259" t="s">
        <v>637</v>
      </c>
      <c r="T101" s="209">
        <v>2009</v>
      </c>
      <c r="U101" s="259" t="s">
        <v>195</v>
      </c>
      <c r="V101" s="421">
        <v>0.81</v>
      </c>
      <c r="W101" s="421">
        <v>0.81</v>
      </c>
      <c r="X101" s="421"/>
      <c r="Y101" s="421"/>
      <c r="Z101" s="259" t="s">
        <v>195</v>
      </c>
      <c r="AA101" s="422"/>
    </row>
    <row r="102" spans="1:27" ht="13.5" customHeight="1">
      <c r="A102" s="196">
        <f t="shared" si="13"/>
        <v>0</v>
      </c>
      <c r="B102" s="196" t="str">
        <f t="shared" si="13"/>
        <v>Solar</v>
      </c>
      <c r="C102" s="196">
        <f t="shared" si="13"/>
        <v>0</v>
      </c>
      <c r="D102" s="196">
        <f t="shared" si="14"/>
        <v>0</v>
      </c>
      <c r="E102" s="196">
        <f t="shared" si="15"/>
        <v>0</v>
      </c>
      <c r="F102" s="196">
        <f t="shared" si="16"/>
        <v>0</v>
      </c>
      <c r="G102" s="196">
        <f t="shared" si="17"/>
        <v>0</v>
      </c>
      <c r="H102" s="196">
        <f t="shared" si="17"/>
        <v>0</v>
      </c>
      <c r="I102" s="196">
        <f t="shared" si="18"/>
        <v>0</v>
      </c>
      <c r="J102" s="196">
        <f t="shared" si="18"/>
        <v>0</v>
      </c>
      <c r="K102" s="196" t="str">
        <f t="shared" si="19"/>
        <v>Solar</v>
      </c>
      <c r="L102" s="196" t="str">
        <f t="shared" si="20"/>
        <v>Solar</v>
      </c>
      <c r="M102" s="196" t="str">
        <f t="shared" si="21"/>
        <v>YesNewMWHSolar</v>
      </c>
      <c r="N102" s="196" t="str">
        <f t="shared" si="22"/>
        <v>YesNewSolar</v>
      </c>
      <c r="O102" s="196" t="str">
        <f t="shared" si="23"/>
        <v>YesNewMWHSolarYes</v>
      </c>
      <c r="P102" s="196" t="str">
        <f t="shared" si="24"/>
        <v>YesNewSolarYes</v>
      </c>
      <c r="Q102" s="196" t="str">
        <f t="shared" si="25"/>
        <v>YesNewMWH</v>
      </c>
      <c r="R102" s="259" t="s">
        <v>246</v>
      </c>
      <c r="S102" s="259" t="s">
        <v>632</v>
      </c>
      <c r="T102" s="209">
        <v>2005</v>
      </c>
      <c r="U102" s="259" t="s">
        <v>195</v>
      </c>
      <c r="V102" s="421">
        <v>0.0885</v>
      </c>
      <c r="W102" s="421">
        <v>0.0885</v>
      </c>
      <c r="X102" s="421"/>
      <c r="Y102" s="421"/>
      <c r="Z102" s="259" t="s">
        <v>195</v>
      </c>
      <c r="AA102" s="422"/>
    </row>
    <row r="103" spans="1:27" ht="13.5" customHeight="1">
      <c r="A103" s="196">
        <f t="shared" si="13"/>
        <v>0</v>
      </c>
      <c r="B103" s="196" t="str">
        <f t="shared" si="13"/>
        <v>Solar</v>
      </c>
      <c r="C103" s="196">
        <f t="shared" si="13"/>
        <v>0</v>
      </c>
      <c r="D103" s="196">
        <f t="shared" si="14"/>
        <v>0</v>
      </c>
      <c r="E103" s="196">
        <f t="shared" si="15"/>
        <v>0</v>
      </c>
      <c r="F103" s="196">
        <f t="shared" si="16"/>
        <v>0</v>
      </c>
      <c r="G103" s="196">
        <f t="shared" si="17"/>
        <v>0</v>
      </c>
      <c r="H103" s="196">
        <f t="shared" si="17"/>
        <v>0</v>
      </c>
      <c r="I103" s="196">
        <f t="shared" si="18"/>
        <v>0</v>
      </c>
      <c r="J103" s="196">
        <f t="shared" si="18"/>
        <v>0</v>
      </c>
      <c r="K103" s="196" t="str">
        <f t="shared" si="19"/>
        <v>Solar</v>
      </c>
      <c r="L103" s="196" t="str">
        <f t="shared" si="20"/>
        <v>Solar</v>
      </c>
      <c r="M103" s="196" t="str">
        <f t="shared" si="21"/>
        <v>YesNewMWHSolar</v>
      </c>
      <c r="N103" s="196" t="str">
        <f t="shared" si="22"/>
        <v>YesNewSolar</v>
      </c>
      <c r="O103" s="196" t="str">
        <f t="shared" si="23"/>
        <v>YesNewMWHSolarYes</v>
      </c>
      <c r="P103" s="196" t="str">
        <f t="shared" si="24"/>
        <v>YesNewSolarYes</v>
      </c>
      <c r="Q103" s="196" t="str">
        <f t="shared" si="25"/>
        <v>YesNewMWH</v>
      </c>
      <c r="R103" s="259" t="s">
        <v>246</v>
      </c>
      <c r="S103" s="259" t="s">
        <v>633</v>
      </c>
      <c r="T103" s="209">
        <v>2005</v>
      </c>
      <c r="U103" s="259" t="s">
        <v>195</v>
      </c>
      <c r="V103" s="421">
        <v>0.1155</v>
      </c>
      <c r="W103" s="421">
        <v>0.1155</v>
      </c>
      <c r="X103" s="421"/>
      <c r="Y103" s="421"/>
      <c r="Z103" s="259" t="s">
        <v>195</v>
      </c>
      <c r="AA103" s="422"/>
    </row>
    <row r="104" spans="1:27" ht="13.5" customHeight="1">
      <c r="A104" s="196">
        <f t="shared" si="13"/>
        <v>0</v>
      </c>
      <c r="B104" s="196" t="str">
        <f t="shared" si="13"/>
        <v>Solar</v>
      </c>
      <c r="C104" s="196">
        <f t="shared" si="13"/>
        <v>0</v>
      </c>
      <c r="D104" s="196">
        <f t="shared" si="14"/>
        <v>0</v>
      </c>
      <c r="E104" s="196">
        <f t="shared" si="15"/>
        <v>0</v>
      </c>
      <c r="F104" s="196">
        <f t="shared" si="16"/>
        <v>0</v>
      </c>
      <c r="G104" s="196">
        <f t="shared" si="17"/>
        <v>0</v>
      </c>
      <c r="H104" s="196">
        <f t="shared" si="17"/>
        <v>0</v>
      </c>
      <c r="I104" s="196">
        <f t="shared" si="18"/>
        <v>0</v>
      </c>
      <c r="J104" s="196">
        <f t="shared" si="18"/>
        <v>0</v>
      </c>
      <c r="K104" s="196" t="str">
        <f t="shared" si="19"/>
        <v>Solar</v>
      </c>
      <c r="L104" s="196" t="str">
        <f t="shared" si="20"/>
        <v>Solar</v>
      </c>
      <c r="M104" s="196" t="str">
        <f t="shared" si="21"/>
        <v>YesNewMWHSolar</v>
      </c>
      <c r="N104" s="196" t="str">
        <f t="shared" si="22"/>
        <v>YesNewSolar</v>
      </c>
      <c r="O104" s="196" t="str">
        <f t="shared" si="23"/>
        <v>YesNewMWHSolarYes</v>
      </c>
      <c r="P104" s="196" t="str">
        <f t="shared" si="24"/>
        <v>YesNewSolarYes</v>
      </c>
      <c r="Q104" s="196" t="str">
        <f t="shared" si="25"/>
        <v>YesNewMWH</v>
      </c>
      <c r="R104" s="259" t="s">
        <v>246</v>
      </c>
      <c r="S104" s="259" t="s">
        <v>633</v>
      </c>
      <c r="T104" s="209">
        <v>2005</v>
      </c>
      <c r="U104" s="259" t="s">
        <v>195</v>
      </c>
      <c r="V104" s="421">
        <v>0.1155</v>
      </c>
      <c r="W104" s="421">
        <v>0.1155</v>
      </c>
      <c r="X104" s="421"/>
      <c r="Y104" s="421"/>
      <c r="Z104" s="259" t="s">
        <v>195</v>
      </c>
      <c r="AA104" s="422"/>
    </row>
    <row r="105" spans="1:27" ht="13.5" customHeight="1">
      <c r="A105" s="196">
        <f t="shared" si="13"/>
        <v>0</v>
      </c>
      <c r="B105" s="196" t="str">
        <f t="shared" si="13"/>
        <v>Solar</v>
      </c>
      <c r="C105" s="196">
        <f t="shared" si="13"/>
        <v>0</v>
      </c>
      <c r="D105" s="196">
        <f t="shared" si="14"/>
        <v>0</v>
      </c>
      <c r="E105" s="196">
        <f t="shared" si="15"/>
        <v>0</v>
      </c>
      <c r="F105" s="196">
        <f t="shared" si="16"/>
        <v>0</v>
      </c>
      <c r="G105" s="196">
        <f t="shared" si="17"/>
        <v>0</v>
      </c>
      <c r="H105" s="196">
        <f t="shared" si="17"/>
        <v>0</v>
      </c>
      <c r="I105" s="196">
        <f t="shared" si="18"/>
        <v>0</v>
      </c>
      <c r="J105" s="196">
        <f t="shared" si="18"/>
        <v>0</v>
      </c>
      <c r="K105" s="196" t="str">
        <f t="shared" si="19"/>
        <v>Solar</v>
      </c>
      <c r="L105" s="196" t="str">
        <f t="shared" si="20"/>
        <v>Solar</v>
      </c>
      <c r="M105" s="196" t="str">
        <f t="shared" si="21"/>
        <v>YesNewMWHSolar</v>
      </c>
      <c r="N105" s="196" t="str">
        <f t="shared" si="22"/>
        <v>YesNewSolar</v>
      </c>
      <c r="O105" s="196" t="str">
        <f t="shared" si="23"/>
        <v>YesNewMWHSolarYes</v>
      </c>
      <c r="P105" s="196" t="str">
        <f t="shared" si="24"/>
        <v>YesNewSolarYes</v>
      </c>
      <c r="Q105" s="196" t="str">
        <f t="shared" si="25"/>
        <v>YesNewMWH</v>
      </c>
      <c r="R105" s="259" t="s">
        <v>246</v>
      </c>
      <c r="S105" s="259" t="s">
        <v>638</v>
      </c>
      <c r="T105" s="209">
        <v>2005</v>
      </c>
      <c r="U105" s="259" t="s">
        <v>195</v>
      </c>
      <c r="V105" s="421">
        <v>0.12</v>
      </c>
      <c r="W105" s="421">
        <v>0.12</v>
      </c>
      <c r="X105" s="421"/>
      <c r="Y105" s="421"/>
      <c r="Z105" s="259" t="s">
        <v>195</v>
      </c>
      <c r="AA105" s="422"/>
    </row>
    <row r="106" spans="1:27" ht="13.5" customHeight="1">
      <c r="A106" s="196" t="str">
        <f t="shared" si="13"/>
        <v>Solar</v>
      </c>
      <c r="B106" s="196">
        <f t="shared" si="13"/>
        <v>0</v>
      </c>
      <c r="C106" s="196">
        <f t="shared" si="13"/>
        <v>0</v>
      </c>
      <c r="D106" s="196">
        <f t="shared" si="14"/>
        <v>0</v>
      </c>
      <c r="E106" s="196">
        <f t="shared" si="15"/>
        <v>0</v>
      </c>
      <c r="F106" s="196">
        <f t="shared" si="16"/>
        <v>0</v>
      </c>
      <c r="G106" s="196">
        <f t="shared" si="17"/>
        <v>0</v>
      </c>
      <c r="H106" s="196">
        <f t="shared" si="17"/>
        <v>0</v>
      </c>
      <c r="I106" s="196">
        <f t="shared" si="18"/>
        <v>0</v>
      </c>
      <c r="J106" s="196">
        <f t="shared" si="18"/>
        <v>0</v>
      </c>
      <c r="K106" s="196" t="str">
        <f t="shared" si="19"/>
        <v>Solar</v>
      </c>
      <c r="L106" s="196" t="str">
        <f t="shared" si="20"/>
        <v>Solar</v>
      </c>
      <c r="M106" s="196" t="str">
        <f t="shared" si="21"/>
        <v>YesNewSolar</v>
      </c>
      <c r="N106" s="196" t="str">
        <f t="shared" si="22"/>
        <v>YesNewSolar</v>
      </c>
      <c r="O106" s="196" t="str">
        <f t="shared" si="23"/>
        <v>YesNewSolarYes</v>
      </c>
      <c r="P106" s="196" t="str">
        <f t="shared" si="24"/>
        <v>YesNewSolarYes</v>
      </c>
      <c r="Q106" s="196" t="str">
        <f t="shared" si="25"/>
        <v>YesNew</v>
      </c>
      <c r="R106" s="259" t="s">
        <v>198</v>
      </c>
      <c r="S106" s="259" t="s">
        <v>639</v>
      </c>
      <c r="T106" s="209">
        <v>2009</v>
      </c>
      <c r="U106" s="259" t="s">
        <v>195</v>
      </c>
      <c r="V106" s="421"/>
      <c r="W106" s="421"/>
      <c r="X106" s="421"/>
      <c r="Y106" s="421">
        <v>620</v>
      </c>
      <c r="Z106" s="259" t="s">
        <v>195</v>
      </c>
      <c r="AA106" s="422"/>
    </row>
    <row r="107" spans="1:27" ht="13.5" customHeight="1">
      <c r="A107" s="196">
        <f t="shared" si="13"/>
        <v>0</v>
      </c>
      <c r="B107" s="196">
        <f t="shared" si="13"/>
        <v>0</v>
      </c>
      <c r="C107" s="196">
        <f t="shared" si="13"/>
        <v>0</v>
      </c>
      <c r="D107" s="196">
        <f t="shared" si="14"/>
        <v>0</v>
      </c>
      <c r="E107" s="196">
        <f t="shared" si="15"/>
        <v>0</v>
      </c>
      <c r="F107" s="196">
        <f t="shared" si="16"/>
        <v>0</v>
      </c>
      <c r="G107" s="196">
        <f t="shared" si="17"/>
        <v>0</v>
      </c>
      <c r="H107" s="196">
        <f t="shared" si="17"/>
        <v>0</v>
      </c>
      <c r="I107" s="196">
        <f t="shared" si="18"/>
        <v>0</v>
      </c>
      <c r="J107" s="196">
        <f t="shared" si="18"/>
        <v>0</v>
      </c>
      <c r="K107" s="196">
        <f t="shared" si="19"/>
        <v>0</v>
      </c>
      <c r="L107" s="196">
        <f t="shared" si="20"/>
      </c>
      <c r="M107" s="196" t="str">
        <f>CONCATENATE($Z107,IF($T107&gt;=1999,"New","Old"),IF($V107&gt;0,"MWH",""),$L107)</f>
        <v>Select from ListOld</v>
      </c>
      <c r="N107" s="196" t="str">
        <f t="shared" si="22"/>
        <v>Select from ListOld</v>
      </c>
      <c r="O107" s="196" t="str">
        <f t="shared" si="23"/>
        <v>Select from ListOldSelect from List</v>
      </c>
      <c r="P107" s="196" t="str">
        <f t="shared" si="24"/>
        <v>Select from ListOldSelect from List</v>
      </c>
      <c r="Q107" s="196" t="str">
        <f t="shared" si="25"/>
        <v>Select from ListOld</v>
      </c>
      <c r="R107" s="259"/>
      <c r="S107" s="259"/>
      <c r="T107" s="209"/>
      <c r="U107" s="259" t="s">
        <v>546</v>
      </c>
      <c r="V107" s="421"/>
      <c r="W107" s="421"/>
      <c r="X107" s="421"/>
      <c r="Y107" s="421"/>
      <c r="Z107" s="259" t="s">
        <v>546</v>
      </c>
      <c r="AA107" s="422"/>
    </row>
    <row r="108" spans="1:27" ht="13.5" customHeight="1">
      <c r="A108" s="196">
        <f t="shared" si="13"/>
        <v>0</v>
      </c>
      <c r="B108" s="196">
        <f t="shared" si="13"/>
        <v>0</v>
      </c>
      <c r="C108" s="196">
        <f t="shared" si="13"/>
        <v>0</v>
      </c>
      <c r="D108" s="196">
        <f t="shared" si="14"/>
        <v>0</v>
      </c>
      <c r="E108" s="196">
        <f t="shared" si="15"/>
        <v>0</v>
      </c>
      <c r="F108" s="196">
        <f t="shared" si="16"/>
        <v>0</v>
      </c>
      <c r="G108" s="196">
        <f t="shared" si="17"/>
        <v>0</v>
      </c>
      <c r="H108" s="196">
        <f t="shared" si="17"/>
        <v>0</v>
      </c>
      <c r="I108" s="196">
        <f t="shared" si="18"/>
        <v>0</v>
      </c>
      <c r="J108" s="196">
        <f t="shared" si="18"/>
        <v>0</v>
      </c>
      <c r="K108" s="196">
        <f t="shared" si="19"/>
        <v>0</v>
      </c>
      <c r="L108" s="196">
        <f t="shared" si="20"/>
      </c>
      <c r="M108" s="196" t="str">
        <f t="shared" si="21"/>
        <v>Select from ListOld</v>
      </c>
      <c r="N108" s="196" t="str">
        <f t="shared" si="22"/>
        <v>Select from ListOld</v>
      </c>
      <c r="O108" s="196" t="str">
        <f t="shared" si="23"/>
        <v>Select from ListOldSelect from List</v>
      </c>
      <c r="P108" s="196" t="str">
        <f t="shared" si="24"/>
        <v>Select from ListOldSelect from List</v>
      </c>
      <c r="Q108" s="196" t="str">
        <f t="shared" si="25"/>
        <v>Select from ListOld</v>
      </c>
      <c r="R108" s="259"/>
      <c r="S108" s="259"/>
      <c r="T108" s="209"/>
      <c r="U108" s="259" t="s">
        <v>546</v>
      </c>
      <c r="V108" s="421"/>
      <c r="W108" s="421"/>
      <c r="X108" s="421"/>
      <c r="Y108" s="421"/>
      <c r="Z108" s="259" t="s">
        <v>546</v>
      </c>
      <c r="AA108" s="422"/>
    </row>
    <row r="109" spans="1:27" ht="13.5" customHeight="1">
      <c r="A109" s="196">
        <f t="shared" si="13"/>
        <v>0</v>
      </c>
      <c r="B109" s="196">
        <f t="shared" si="13"/>
        <v>0</v>
      </c>
      <c r="C109" s="196">
        <f t="shared" si="13"/>
        <v>0</v>
      </c>
      <c r="D109" s="196">
        <f t="shared" si="14"/>
        <v>0</v>
      </c>
      <c r="E109" s="196">
        <f t="shared" si="15"/>
        <v>0</v>
      </c>
      <c r="F109" s="196">
        <f t="shared" si="16"/>
        <v>0</v>
      </c>
      <c r="G109" s="196">
        <f t="shared" si="17"/>
        <v>0</v>
      </c>
      <c r="H109" s="196">
        <f t="shared" si="17"/>
        <v>0</v>
      </c>
      <c r="I109" s="196">
        <f t="shared" si="18"/>
        <v>0</v>
      </c>
      <c r="J109" s="196">
        <f t="shared" si="18"/>
        <v>0</v>
      </c>
      <c r="K109" s="196">
        <f t="shared" si="19"/>
        <v>0</v>
      </c>
      <c r="L109" s="196">
        <f t="shared" si="20"/>
      </c>
      <c r="M109" s="196" t="str">
        <f t="shared" si="21"/>
        <v>Select from ListOld</v>
      </c>
      <c r="N109" s="196" t="str">
        <f t="shared" si="22"/>
        <v>Select from ListOld</v>
      </c>
      <c r="O109" s="196" t="str">
        <f t="shared" si="23"/>
        <v>Select from ListOldSelect from List</v>
      </c>
      <c r="P109" s="196" t="str">
        <f t="shared" si="24"/>
        <v>Select from ListOldSelect from List</v>
      </c>
      <c r="Q109" s="196" t="str">
        <f t="shared" si="25"/>
        <v>Select from ListOld</v>
      </c>
      <c r="R109" s="259"/>
      <c r="S109" s="259"/>
      <c r="T109" s="209"/>
      <c r="U109" s="259" t="s">
        <v>546</v>
      </c>
      <c r="V109" s="421"/>
      <c r="W109" s="421"/>
      <c r="X109" s="421"/>
      <c r="Y109" s="421"/>
      <c r="Z109" s="259" t="s">
        <v>546</v>
      </c>
      <c r="AA109" s="422"/>
    </row>
    <row r="110" spans="1:27" ht="13.5" customHeight="1">
      <c r="A110" s="196">
        <f t="shared" si="13"/>
        <v>0</v>
      </c>
      <c r="B110" s="196">
        <f t="shared" si="13"/>
        <v>0</v>
      </c>
      <c r="C110" s="196">
        <f t="shared" si="13"/>
        <v>0</v>
      </c>
      <c r="D110" s="196">
        <f t="shared" si="14"/>
        <v>0</v>
      </c>
      <c r="E110" s="196">
        <f t="shared" si="15"/>
        <v>0</v>
      </c>
      <c r="F110" s="196">
        <f t="shared" si="16"/>
        <v>0</v>
      </c>
      <c r="G110" s="196">
        <f t="shared" si="17"/>
        <v>0</v>
      </c>
      <c r="H110" s="196">
        <f t="shared" si="17"/>
        <v>0</v>
      </c>
      <c r="I110" s="196">
        <f t="shared" si="18"/>
        <v>0</v>
      </c>
      <c r="J110" s="196">
        <f t="shared" si="18"/>
        <v>0</v>
      </c>
      <c r="K110" s="196">
        <f t="shared" si="19"/>
        <v>0</v>
      </c>
      <c r="L110" s="196">
        <f t="shared" si="20"/>
      </c>
      <c r="M110" s="196" t="str">
        <f t="shared" si="21"/>
        <v>Select from ListOld</v>
      </c>
      <c r="N110" s="196" t="str">
        <f t="shared" si="22"/>
        <v>Select from ListOld</v>
      </c>
      <c r="O110" s="196" t="str">
        <f t="shared" si="23"/>
        <v>Select from ListOldSelect from List</v>
      </c>
      <c r="P110" s="196" t="str">
        <f t="shared" si="24"/>
        <v>Select from ListOldSelect from List</v>
      </c>
      <c r="Q110" s="196" t="str">
        <f t="shared" si="25"/>
        <v>Select from ListOld</v>
      </c>
      <c r="R110" s="259"/>
      <c r="S110" s="259"/>
      <c r="T110" s="209"/>
      <c r="U110" s="259" t="s">
        <v>546</v>
      </c>
      <c r="V110" s="421"/>
      <c r="W110" s="421"/>
      <c r="X110" s="421"/>
      <c r="Y110" s="421"/>
      <c r="Z110" s="259" t="s">
        <v>546</v>
      </c>
      <c r="AA110" s="422"/>
    </row>
    <row r="111" spans="1:27" ht="13.5" customHeight="1">
      <c r="A111" s="196">
        <f t="shared" si="13"/>
        <v>0</v>
      </c>
      <c r="B111" s="196">
        <f t="shared" si="13"/>
        <v>0</v>
      </c>
      <c r="C111" s="196">
        <f t="shared" si="13"/>
        <v>0</v>
      </c>
      <c r="D111" s="196">
        <f t="shared" si="14"/>
        <v>0</v>
      </c>
      <c r="E111" s="196">
        <f t="shared" si="15"/>
        <v>0</v>
      </c>
      <c r="F111" s="196">
        <f t="shared" si="16"/>
        <v>0</v>
      </c>
      <c r="G111" s="196">
        <f t="shared" si="17"/>
        <v>0</v>
      </c>
      <c r="H111" s="196">
        <f t="shared" si="17"/>
        <v>0</v>
      </c>
      <c r="I111" s="196">
        <f t="shared" si="18"/>
        <v>0</v>
      </c>
      <c r="J111" s="196">
        <f t="shared" si="18"/>
        <v>0</v>
      </c>
      <c r="K111" s="196">
        <f t="shared" si="19"/>
        <v>0</v>
      </c>
      <c r="L111" s="196">
        <f t="shared" si="20"/>
      </c>
      <c r="M111" s="196" t="str">
        <f t="shared" si="21"/>
        <v>Select from ListOld</v>
      </c>
      <c r="N111" s="196" t="str">
        <f t="shared" si="22"/>
        <v>Select from ListOld</v>
      </c>
      <c r="O111" s="196" t="str">
        <f t="shared" si="23"/>
        <v>Select from ListOldSelect from List</v>
      </c>
      <c r="P111" s="196" t="str">
        <f t="shared" si="24"/>
        <v>Select from ListOldSelect from List</v>
      </c>
      <c r="Q111" s="196" t="str">
        <f t="shared" si="25"/>
        <v>Select from ListOld</v>
      </c>
      <c r="R111" s="259"/>
      <c r="S111" s="259"/>
      <c r="T111" s="209"/>
      <c r="U111" s="259" t="s">
        <v>546</v>
      </c>
      <c r="V111" s="421"/>
      <c r="W111" s="421"/>
      <c r="X111" s="421"/>
      <c r="Y111" s="421"/>
      <c r="Z111" s="259" t="s">
        <v>546</v>
      </c>
      <c r="AA111" s="422"/>
    </row>
    <row r="112" spans="1:27" ht="13.5" customHeight="1">
      <c r="A112" s="196">
        <f t="shared" si="13"/>
        <v>0</v>
      </c>
      <c r="B112" s="196">
        <f t="shared" si="13"/>
        <v>0</v>
      </c>
      <c r="C112" s="196">
        <f t="shared" si="13"/>
        <v>0</v>
      </c>
      <c r="D112" s="196">
        <f t="shared" si="14"/>
        <v>0</v>
      </c>
      <c r="E112" s="196">
        <f t="shared" si="15"/>
        <v>0</v>
      </c>
      <c r="F112" s="196">
        <f t="shared" si="16"/>
        <v>0</v>
      </c>
      <c r="G112" s="196">
        <f t="shared" si="17"/>
        <v>0</v>
      </c>
      <c r="H112" s="196">
        <f t="shared" si="17"/>
        <v>0</v>
      </c>
      <c r="I112" s="196">
        <f t="shared" si="18"/>
        <v>0</v>
      </c>
      <c r="J112" s="196">
        <f t="shared" si="18"/>
        <v>0</v>
      </c>
      <c r="K112" s="196">
        <f t="shared" si="19"/>
        <v>0</v>
      </c>
      <c r="L112" s="196">
        <f t="shared" si="20"/>
      </c>
      <c r="M112" s="196" t="str">
        <f t="shared" si="21"/>
        <v>Select from ListOld</v>
      </c>
      <c r="N112" s="196" t="str">
        <f t="shared" si="22"/>
        <v>Select from ListOld</v>
      </c>
      <c r="O112" s="196" t="str">
        <f t="shared" si="23"/>
        <v>Select from ListOldSelect from List</v>
      </c>
      <c r="P112" s="196" t="str">
        <f t="shared" si="24"/>
        <v>Select from ListOldSelect from List</v>
      </c>
      <c r="Q112" s="196" t="str">
        <f t="shared" si="25"/>
        <v>Select from ListOld</v>
      </c>
      <c r="R112" s="259"/>
      <c r="S112" s="259"/>
      <c r="T112" s="209"/>
      <c r="U112" s="259" t="s">
        <v>546</v>
      </c>
      <c r="V112" s="421"/>
      <c r="W112" s="421"/>
      <c r="X112" s="421"/>
      <c r="Y112" s="421"/>
      <c r="Z112" s="259" t="s">
        <v>546</v>
      </c>
      <c r="AA112" s="422"/>
    </row>
    <row r="113" spans="1:27" ht="13.5" customHeight="1">
      <c r="A113" s="196">
        <f t="shared" si="13"/>
        <v>0</v>
      </c>
      <c r="B113" s="196">
        <f t="shared" si="13"/>
        <v>0</v>
      </c>
      <c r="C113" s="196">
        <f t="shared" si="13"/>
        <v>0</v>
      </c>
      <c r="D113" s="196">
        <f t="shared" si="14"/>
        <v>0</v>
      </c>
      <c r="E113" s="196">
        <f t="shared" si="15"/>
        <v>0</v>
      </c>
      <c r="F113" s="196">
        <f t="shared" si="16"/>
        <v>0</v>
      </c>
      <c r="G113" s="196">
        <f t="shared" si="17"/>
        <v>0</v>
      </c>
      <c r="H113" s="196">
        <f t="shared" si="17"/>
        <v>0</v>
      </c>
      <c r="I113" s="196">
        <f t="shared" si="18"/>
        <v>0</v>
      </c>
      <c r="J113" s="196">
        <f t="shared" si="18"/>
        <v>0</v>
      </c>
      <c r="K113" s="196">
        <f t="shared" si="19"/>
        <v>0</v>
      </c>
      <c r="L113" s="196">
        <f t="shared" si="20"/>
      </c>
      <c r="M113" s="196" t="str">
        <f t="shared" si="21"/>
        <v>Select from ListOld</v>
      </c>
      <c r="N113" s="196" t="str">
        <f t="shared" si="22"/>
        <v>Select from ListOld</v>
      </c>
      <c r="O113" s="196" t="str">
        <f t="shared" si="23"/>
        <v>Select from ListOldSelect from List</v>
      </c>
      <c r="P113" s="196" t="str">
        <f t="shared" si="24"/>
        <v>Select from ListOldSelect from List</v>
      </c>
      <c r="Q113" s="196" t="str">
        <f t="shared" si="25"/>
        <v>Select from ListOld</v>
      </c>
      <c r="R113" s="259"/>
      <c r="S113" s="259"/>
      <c r="T113" s="209"/>
      <c r="U113" s="259" t="s">
        <v>546</v>
      </c>
      <c r="V113" s="421"/>
      <c r="W113" s="421"/>
      <c r="X113" s="421"/>
      <c r="Y113" s="421"/>
      <c r="Z113" s="259" t="s">
        <v>546</v>
      </c>
      <c r="AA113" s="422"/>
    </row>
    <row r="114" spans="1:27" ht="13.5" customHeight="1">
      <c r="A114" s="196">
        <f t="shared" si="13"/>
        <v>0</v>
      </c>
      <c r="B114" s="196">
        <f t="shared" si="13"/>
        <v>0</v>
      </c>
      <c r="C114" s="196">
        <f t="shared" si="13"/>
        <v>0</v>
      </c>
      <c r="D114" s="196">
        <f t="shared" si="14"/>
        <v>0</v>
      </c>
      <c r="E114" s="196">
        <f t="shared" si="15"/>
        <v>0</v>
      </c>
      <c r="F114" s="196">
        <f t="shared" si="16"/>
        <v>0</v>
      </c>
      <c r="G114" s="196">
        <f t="shared" si="17"/>
        <v>0</v>
      </c>
      <c r="H114" s="196">
        <f t="shared" si="17"/>
        <v>0</v>
      </c>
      <c r="I114" s="196">
        <f t="shared" si="18"/>
        <v>0</v>
      </c>
      <c r="J114" s="196">
        <f t="shared" si="18"/>
        <v>0</v>
      </c>
      <c r="K114" s="196">
        <f t="shared" si="19"/>
        <v>0</v>
      </c>
      <c r="L114" s="196">
        <f t="shared" si="20"/>
      </c>
      <c r="M114" s="196" t="str">
        <f t="shared" si="21"/>
        <v>Select from ListOld</v>
      </c>
      <c r="N114" s="196" t="str">
        <f t="shared" si="22"/>
        <v>Select from ListOld</v>
      </c>
      <c r="O114" s="196" t="str">
        <f t="shared" si="23"/>
        <v>Select from ListOldSelect from List</v>
      </c>
      <c r="P114" s="196" t="str">
        <f t="shared" si="24"/>
        <v>Select from ListOldSelect from List</v>
      </c>
      <c r="Q114" s="196" t="str">
        <f t="shared" si="25"/>
        <v>Select from ListOld</v>
      </c>
      <c r="R114" s="259"/>
      <c r="S114" s="259"/>
      <c r="T114" s="209"/>
      <c r="U114" s="259" t="s">
        <v>546</v>
      </c>
      <c r="V114" s="421"/>
      <c r="W114" s="421"/>
      <c r="X114" s="421"/>
      <c r="Y114" s="421"/>
      <c r="Z114" s="259" t="s">
        <v>546</v>
      </c>
      <c r="AA114" s="422"/>
    </row>
    <row r="115" spans="1:27" ht="13.5" customHeight="1">
      <c r="A115" s="196">
        <f t="shared" si="13"/>
        <v>0</v>
      </c>
      <c r="B115" s="196">
        <f t="shared" si="13"/>
        <v>0</v>
      </c>
      <c r="C115" s="196">
        <f t="shared" si="13"/>
        <v>0</v>
      </c>
      <c r="D115" s="196">
        <f t="shared" si="14"/>
        <v>0</v>
      </c>
      <c r="E115" s="196">
        <f t="shared" si="15"/>
        <v>0</v>
      </c>
      <c r="F115" s="196">
        <f t="shared" si="16"/>
        <v>0</v>
      </c>
      <c r="G115" s="196">
        <f t="shared" si="17"/>
        <v>0</v>
      </c>
      <c r="H115" s="196">
        <f t="shared" si="17"/>
        <v>0</v>
      </c>
      <c r="I115" s="196">
        <f t="shared" si="18"/>
        <v>0</v>
      </c>
      <c r="J115" s="196">
        <f t="shared" si="18"/>
        <v>0</v>
      </c>
      <c r="K115" s="196">
        <f t="shared" si="19"/>
        <v>0</v>
      </c>
      <c r="L115" s="196">
        <f t="shared" si="20"/>
      </c>
      <c r="M115" s="196" t="str">
        <f t="shared" si="21"/>
        <v>Select from ListOld</v>
      </c>
      <c r="N115" s="196" t="str">
        <f t="shared" si="22"/>
        <v>Select from ListOld</v>
      </c>
      <c r="O115" s="196" t="str">
        <f t="shared" si="23"/>
        <v>Select from ListOldSelect from List</v>
      </c>
      <c r="P115" s="196" t="str">
        <f t="shared" si="24"/>
        <v>Select from ListOldSelect from List</v>
      </c>
      <c r="Q115" s="196" t="str">
        <f t="shared" si="25"/>
        <v>Select from ListOld</v>
      </c>
      <c r="R115" s="259"/>
      <c r="S115" s="259"/>
      <c r="T115" s="209"/>
      <c r="U115" s="259" t="s">
        <v>546</v>
      </c>
      <c r="V115" s="421"/>
      <c r="W115" s="421"/>
      <c r="X115" s="421"/>
      <c r="Y115" s="421"/>
      <c r="Z115" s="259" t="s">
        <v>546</v>
      </c>
      <c r="AA115" s="422"/>
    </row>
    <row r="116" spans="1:27" ht="13.5" customHeight="1">
      <c r="A116" s="196">
        <f t="shared" si="13"/>
        <v>0</v>
      </c>
      <c r="B116" s="196">
        <f t="shared" si="13"/>
        <v>0</v>
      </c>
      <c r="C116" s="196">
        <f t="shared" si="13"/>
        <v>0</v>
      </c>
      <c r="D116" s="196">
        <f t="shared" si="14"/>
        <v>0</v>
      </c>
      <c r="E116" s="196">
        <f t="shared" si="15"/>
        <v>0</v>
      </c>
      <c r="F116" s="196">
        <f t="shared" si="16"/>
        <v>0</v>
      </c>
      <c r="G116" s="196">
        <f t="shared" si="17"/>
        <v>0</v>
      </c>
      <c r="H116" s="196">
        <f t="shared" si="17"/>
        <v>0</v>
      </c>
      <c r="I116" s="196">
        <f t="shared" si="18"/>
        <v>0</v>
      </c>
      <c r="J116" s="196">
        <f t="shared" si="18"/>
        <v>0</v>
      </c>
      <c r="K116" s="196">
        <f t="shared" si="19"/>
        <v>0</v>
      </c>
      <c r="L116" s="196">
        <f t="shared" si="20"/>
      </c>
      <c r="M116" s="196" t="str">
        <f t="shared" si="21"/>
        <v>Select from ListOld</v>
      </c>
      <c r="N116" s="196" t="str">
        <f t="shared" si="22"/>
        <v>Select from ListOld</v>
      </c>
      <c r="O116" s="196" t="str">
        <f t="shared" si="23"/>
        <v>Select from ListOldSelect from List</v>
      </c>
      <c r="P116" s="196" t="str">
        <f t="shared" si="24"/>
        <v>Select from ListOldSelect from List</v>
      </c>
      <c r="Q116" s="196" t="str">
        <f t="shared" si="25"/>
        <v>Select from ListOld</v>
      </c>
      <c r="R116" s="259"/>
      <c r="S116" s="259"/>
      <c r="T116" s="209"/>
      <c r="U116" s="259" t="s">
        <v>546</v>
      </c>
      <c r="V116" s="421"/>
      <c r="W116" s="421"/>
      <c r="X116" s="421"/>
      <c r="Y116" s="421"/>
      <c r="Z116" s="259" t="s">
        <v>546</v>
      </c>
      <c r="AA116" s="422"/>
    </row>
    <row r="117" spans="1:27" ht="13.5" customHeight="1">
      <c r="A117" s="196">
        <f t="shared" si="13"/>
        <v>0</v>
      </c>
      <c r="B117" s="196">
        <f t="shared" si="13"/>
        <v>0</v>
      </c>
      <c r="C117" s="196">
        <f t="shared" si="13"/>
        <v>0</v>
      </c>
      <c r="D117" s="196">
        <f t="shared" si="14"/>
        <v>0</v>
      </c>
      <c r="E117" s="196">
        <f t="shared" si="15"/>
        <v>0</v>
      </c>
      <c r="F117" s="196">
        <f t="shared" si="16"/>
        <v>0</v>
      </c>
      <c r="G117" s="196">
        <f t="shared" si="17"/>
        <v>0</v>
      </c>
      <c r="H117" s="196">
        <f t="shared" si="17"/>
        <v>0</v>
      </c>
      <c r="I117" s="196">
        <f t="shared" si="18"/>
        <v>0</v>
      </c>
      <c r="J117" s="196">
        <f t="shared" si="18"/>
        <v>0</v>
      </c>
      <c r="K117" s="196">
        <f t="shared" si="19"/>
        <v>0</v>
      </c>
      <c r="L117" s="196">
        <f t="shared" si="20"/>
      </c>
      <c r="M117" s="196" t="str">
        <f t="shared" si="21"/>
        <v>Select from ListOld</v>
      </c>
      <c r="N117" s="196" t="str">
        <f t="shared" si="22"/>
        <v>Select from ListOld</v>
      </c>
      <c r="O117" s="196" t="str">
        <f t="shared" si="23"/>
        <v>Select from ListOldSelect from List</v>
      </c>
      <c r="P117" s="196" t="str">
        <f t="shared" si="24"/>
        <v>Select from ListOldSelect from List</v>
      </c>
      <c r="Q117" s="196" t="str">
        <f t="shared" si="25"/>
        <v>Select from ListOld</v>
      </c>
      <c r="R117" s="259"/>
      <c r="S117" s="259"/>
      <c r="T117" s="209"/>
      <c r="U117" s="259" t="s">
        <v>546</v>
      </c>
      <c r="V117" s="421"/>
      <c r="W117" s="421"/>
      <c r="X117" s="421"/>
      <c r="Y117" s="421"/>
      <c r="Z117" s="259" t="s">
        <v>546</v>
      </c>
      <c r="AA117" s="422"/>
    </row>
    <row r="118" spans="1:27" ht="13.5" customHeight="1">
      <c r="A118" s="196">
        <f t="shared" si="13"/>
        <v>0</v>
      </c>
      <c r="B118" s="196">
        <f t="shared" si="13"/>
        <v>0</v>
      </c>
      <c r="C118" s="196">
        <f t="shared" si="13"/>
        <v>0</v>
      </c>
      <c r="D118" s="196">
        <f t="shared" si="14"/>
        <v>0</v>
      </c>
      <c r="E118" s="196">
        <f t="shared" si="15"/>
        <v>0</v>
      </c>
      <c r="F118" s="196">
        <f t="shared" si="16"/>
        <v>0</v>
      </c>
      <c r="G118" s="196">
        <f t="shared" si="17"/>
        <v>0</v>
      </c>
      <c r="H118" s="196">
        <f t="shared" si="17"/>
        <v>0</v>
      </c>
      <c r="I118" s="196">
        <f t="shared" si="18"/>
        <v>0</v>
      </c>
      <c r="J118" s="196">
        <f t="shared" si="18"/>
        <v>0</v>
      </c>
      <c r="K118" s="196">
        <f t="shared" si="19"/>
        <v>0</v>
      </c>
      <c r="L118" s="196">
        <f t="shared" si="20"/>
      </c>
      <c r="M118" s="196" t="str">
        <f t="shared" si="21"/>
        <v>Select from ListOld</v>
      </c>
      <c r="N118" s="196" t="str">
        <f t="shared" si="22"/>
        <v>Select from ListOld</v>
      </c>
      <c r="O118" s="196" t="str">
        <f t="shared" si="23"/>
        <v>Select from ListOldSelect from List</v>
      </c>
      <c r="P118" s="196" t="str">
        <f t="shared" si="24"/>
        <v>Select from ListOldSelect from List</v>
      </c>
      <c r="Q118" s="196" t="str">
        <f t="shared" si="25"/>
        <v>Select from ListOld</v>
      </c>
      <c r="R118" s="259"/>
      <c r="S118" s="259"/>
      <c r="T118" s="209"/>
      <c r="U118" s="259" t="s">
        <v>546</v>
      </c>
      <c r="V118" s="421"/>
      <c r="W118" s="421"/>
      <c r="X118" s="421"/>
      <c r="Y118" s="421"/>
      <c r="Z118" s="259" t="s">
        <v>546</v>
      </c>
      <c r="AA118" s="422"/>
    </row>
    <row r="119" spans="1:27" ht="13.5" customHeight="1">
      <c r="A119" s="196">
        <f t="shared" si="13"/>
        <v>0</v>
      </c>
      <c r="B119" s="196">
        <f t="shared" si="13"/>
        <v>0</v>
      </c>
      <c r="C119" s="196">
        <f t="shared" si="13"/>
        <v>0</v>
      </c>
      <c r="D119" s="196">
        <f t="shared" si="14"/>
        <v>0</v>
      </c>
      <c r="E119" s="196">
        <f t="shared" si="15"/>
        <v>0</v>
      </c>
      <c r="F119" s="196">
        <f t="shared" si="16"/>
        <v>0</v>
      </c>
      <c r="G119" s="196">
        <f t="shared" si="17"/>
        <v>0</v>
      </c>
      <c r="H119" s="196">
        <f t="shared" si="17"/>
        <v>0</v>
      </c>
      <c r="I119" s="196">
        <f t="shared" si="18"/>
        <v>0</v>
      </c>
      <c r="J119" s="196">
        <f t="shared" si="18"/>
        <v>0</v>
      </c>
      <c r="K119" s="196">
        <f t="shared" si="19"/>
        <v>0</v>
      </c>
      <c r="L119" s="196">
        <f t="shared" si="20"/>
      </c>
      <c r="M119" s="196" t="str">
        <f t="shared" si="21"/>
        <v>Select from ListOld</v>
      </c>
      <c r="N119" s="196" t="str">
        <f t="shared" si="22"/>
        <v>Select from ListOld</v>
      </c>
      <c r="O119" s="196" t="str">
        <f t="shared" si="23"/>
        <v>Select from ListOldSelect from List</v>
      </c>
      <c r="P119" s="196" t="str">
        <f t="shared" si="24"/>
        <v>Select from ListOldSelect from List</v>
      </c>
      <c r="Q119" s="196" t="str">
        <f t="shared" si="25"/>
        <v>Select from ListOld</v>
      </c>
      <c r="R119" s="259"/>
      <c r="S119" s="259"/>
      <c r="T119" s="209"/>
      <c r="U119" s="259" t="s">
        <v>546</v>
      </c>
      <c r="V119" s="421"/>
      <c r="W119" s="421"/>
      <c r="X119" s="421"/>
      <c r="Y119" s="421"/>
      <c r="Z119" s="259" t="s">
        <v>546</v>
      </c>
      <c r="AA119" s="422"/>
    </row>
    <row r="120" spans="1:27" ht="13.5" customHeight="1">
      <c r="A120" s="196">
        <f t="shared" si="13"/>
        <v>0</v>
      </c>
      <c r="B120" s="196">
        <f t="shared" si="13"/>
        <v>0</v>
      </c>
      <c r="C120" s="196">
        <f t="shared" si="13"/>
        <v>0</v>
      </c>
      <c r="D120" s="196">
        <f t="shared" si="14"/>
        <v>0</v>
      </c>
      <c r="E120" s="196">
        <f t="shared" si="15"/>
        <v>0</v>
      </c>
      <c r="F120" s="196">
        <f t="shared" si="16"/>
        <v>0</v>
      </c>
      <c r="G120" s="196">
        <f t="shared" si="17"/>
        <v>0</v>
      </c>
      <c r="H120" s="196">
        <f t="shared" si="17"/>
        <v>0</v>
      </c>
      <c r="I120" s="196">
        <f t="shared" si="18"/>
        <v>0</v>
      </c>
      <c r="J120" s="196">
        <f t="shared" si="18"/>
        <v>0</v>
      </c>
      <c r="K120" s="196">
        <f t="shared" si="19"/>
        <v>0</v>
      </c>
      <c r="L120" s="196">
        <f t="shared" si="20"/>
      </c>
      <c r="M120" s="196" t="str">
        <f t="shared" si="21"/>
        <v>Select from ListOld</v>
      </c>
      <c r="N120" s="196" t="str">
        <f t="shared" si="22"/>
        <v>Select from ListOld</v>
      </c>
      <c r="O120" s="196" t="str">
        <f t="shared" si="23"/>
        <v>Select from ListOldSelect from List</v>
      </c>
      <c r="P120" s="196" t="str">
        <f t="shared" si="24"/>
        <v>Select from ListOldSelect from List</v>
      </c>
      <c r="Q120" s="196" t="str">
        <f t="shared" si="25"/>
        <v>Select from ListOld</v>
      </c>
      <c r="R120" s="259"/>
      <c r="S120" s="259"/>
      <c r="T120" s="209"/>
      <c r="U120" s="259" t="s">
        <v>546</v>
      </c>
      <c r="V120" s="421"/>
      <c r="W120" s="421"/>
      <c r="X120" s="421"/>
      <c r="Y120" s="421"/>
      <c r="Z120" s="259" t="s">
        <v>546</v>
      </c>
      <c r="AA120" s="422"/>
    </row>
    <row r="121" spans="1:27" ht="13.5" customHeight="1">
      <c r="A121" s="196">
        <f t="shared" si="13"/>
        <v>0</v>
      </c>
      <c r="B121" s="196">
        <f t="shared" si="13"/>
        <v>0</v>
      </c>
      <c r="C121" s="196">
        <f t="shared" si="13"/>
        <v>0</v>
      </c>
      <c r="D121" s="196">
        <f t="shared" si="14"/>
        <v>0</v>
      </c>
      <c r="E121" s="196">
        <f t="shared" si="15"/>
        <v>0</v>
      </c>
      <c r="F121" s="196">
        <f t="shared" si="16"/>
        <v>0</v>
      </c>
      <c r="G121" s="196">
        <f t="shared" si="17"/>
        <v>0</v>
      </c>
      <c r="H121" s="196">
        <f t="shared" si="17"/>
        <v>0</v>
      </c>
      <c r="I121" s="196">
        <f t="shared" si="18"/>
        <v>0</v>
      </c>
      <c r="J121" s="196">
        <f t="shared" si="18"/>
        <v>0</v>
      </c>
      <c r="K121" s="196">
        <f t="shared" si="19"/>
        <v>0</v>
      </c>
      <c r="L121" s="196">
        <f t="shared" si="20"/>
      </c>
      <c r="M121" s="196" t="str">
        <f t="shared" si="21"/>
        <v>Select from ListOld</v>
      </c>
      <c r="N121" s="196" t="str">
        <f t="shared" si="22"/>
        <v>Select from ListOld</v>
      </c>
      <c r="O121" s="196" t="str">
        <f t="shared" si="23"/>
        <v>Select from ListOldSelect from List</v>
      </c>
      <c r="P121" s="196" t="str">
        <f t="shared" si="24"/>
        <v>Select from ListOldSelect from List</v>
      </c>
      <c r="Q121" s="196" t="str">
        <f t="shared" si="25"/>
        <v>Select from ListOld</v>
      </c>
      <c r="R121" s="259"/>
      <c r="S121" s="259"/>
      <c r="T121" s="209"/>
      <c r="U121" s="259" t="s">
        <v>546</v>
      </c>
      <c r="V121" s="421"/>
      <c r="W121" s="421"/>
      <c r="X121" s="421"/>
      <c r="Y121" s="421"/>
      <c r="Z121" s="259" t="s">
        <v>546</v>
      </c>
      <c r="AA121" s="422"/>
    </row>
    <row r="122" spans="1:27" ht="13.5" customHeight="1">
      <c r="A122" s="196">
        <f t="shared" si="13"/>
        <v>0</v>
      </c>
      <c r="B122" s="196">
        <f t="shared" si="13"/>
        <v>0</v>
      </c>
      <c r="C122" s="196">
        <f t="shared" si="13"/>
        <v>0</v>
      </c>
      <c r="D122" s="196">
        <f t="shared" si="14"/>
        <v>0</v>
      </c>
      <c r="E122" s="196">
        <f t="shared" si="15"/>
        <v>0</v>
      </c>
      <c r="F122" s="196">
        <f t="shared" si="16"/>
        <v>0</v>
      </c>
      <c r="G122" s="196">
        <f t="shared" si="17"/>
        <v>0</v>
      </c>
      <c r="H122" s="196">
        <f t="shared" si="17"/>
        <v>0</v>
      </c>
      <c r="I122" s="196">
        <f t="shared" si="18"/>
        <v>0</v>
      </c>
      <c r="J122" s="196">
        <f t="shared" si="18"/>
        <v>0</v>
      </c>
      <c r="K122" s="196">
        <f t="shared" si="19"/>
        <v>0</v>
      </c>
      <c r="L122" s="196">
        <f t="shared" si="20"/>
      </c>
      <c r="M122" s="196" t="str">
        <f t="shared" si="21"/>
        <v>Select from ListOld</v>
      </c>
      <c r="N122" s="196" t="str">
        <f t="shared" si="22"/>
        <v>Select from ListOld</v>
      </c>
      <c r="O122" s="196" t="str">
        <f t="shared" si="23"/>
        <v>Select from ListOldSelect from List</v>
      </c>
      <c r="P122" s="196" t="str">
        <f t="shared" si="24"/>
        <v>Select from ListOldSelect from List</v>
      </c>
      <c r="Q122" s="196" t="str">
        <f t="shared" si="25"/>
        <v>Select from ListOld</v>
      </c>
      <c r="R122" s="259"/>
      <c r="S122" s="259"/>
      <c r="T122" s="209"/>
      <c r="U122" s="259" t="s">
        <v>546</v>
      </c>
      <c r="V122" s="421"/>
      <c r="W122" s="421"/>
      <c r="X122" s="421"/>
      <c r="Y122" s="421"/>
      <c r="Z122" s="259" t="s">
        <v>546</v>
      </c>
      <c r="AA122" s="422"/>
    </row>
    <row r="123" spans="1:27" ht="13.5" customHeight="1">
      <c r="A123" s="196">
        <f t="shared" si="13"/>
        <v>0</v>
      </c>
      <c r="B123" s="196">
        <f t="shared" si="13"/>
        <v>0</v>
      </c>
      <c r="C123" s="196">
        <f t="shared" si="13"/>
        <v>0</v>
      </c>
      <c r="D123" s="196">
        <f t="shared" si="14"/>
        <v>0</v>
      </c>
      <c r="E123" s="196">
        <f t="shared" si="15"/>
        <v>0</v>
      </c>
      <c r="F123" s="196">
        <f t="shared" si="16"/>
        <v>0</v>
      </c>
      <c r="G123" s="196">
        <f t="shared" si="17"/>
        <v>0</v>
      </c>
      <c r="H123" s="196">
        <f t="shared" si="17"/>
        <v>0</v>
      </c>
      <c r="I123" s="196">
        <f t="shared" si="18"/>
        <v>0</v>
      </c>
      <c r="J123" s="196">
        <f t="shared" si="18"/>
        <v>0</v>
      </c>
      <c r="K123" s="196">
        <f t="shared" si="19"/>
        <v>0</v>
      </c>
      <c r="L123" s="196">
        <f t="shared" si="20"/>
      </c>
      <c r="M123" s="196" t="str">
        <f t="shared" si="21"/>
        <v>Select from ListOld</v>
      </c>
      <c r="N123" s="196" t="str">
        <f t="shared" si="22"/>
        <v>Select from ListOld</v>
      </c>
      <c r="O123" s="196" t="str">
        <f t="shared" si="23"/>
        <v>Select from ListOldSelect from List</v>
      </c>
      <c r="P123" s="196" t="str">
        <f t="shared" si="24"/>
        <v>Select from ListOldSelect from List</v>
      </c>
      <c r="Q123" s="196" t="str">
        <f t="shared" si="25"/>
        <v>Select from ListOld</v>
      </c>
      <c r="R123" s="259"/>
      <c r="S123" s="259"/>
      <c r="T123" s="209"/>
      <c r="U123" s="259" t="s">
        <v>546</v>
      </c>
      <c r="V123" s="421"/>
      <c r="W123" s="421"/>
      <c r="X123" s="421"/>
      <c r="Y123" s="421"/>
      <c r="Z123" s="259" t="s">
        <v>546</v>
      </c>
      <c r="AA123" s="422"/>
    </row>
    <row r="124" spans="1:27" ht="13.5" customHeight="1">
      <c r="A124" s="196">
        <f t="shared" si="13"/>
        <v>0</v>
      </c>
      <c r="B124" s="196">
        <f t="shared" si="13"/>
        <v>0</v>
      </c>
      <c r="C124" s="196">
        <f t="shared" si="13"/>
        <v>0</v>
      </c>
      <c r="D124" s="196">
        <f t="shared" si="14"/>
        <v>0</v>
      </c>
      <c r="E124" s="196">
        <f t="shared" si="15"/>
        <v>0</v>
      </c>
      <c r="F124" s="196">
        <f t="shared" si="16"/>
        <v>0</v>
      </c>
      <c r="G124" s="196">
        <f t="shared" si="17"/>
        <v>0</v>
      </c>
      <c r="H124" s="196">
        <f t="shared" si="17"/>
        <v>0</v>
      </c>
      <c r="I124" s="196">
        <f t="shared" si="18"/>
        <v>0</v>
      </c>
      <c r="J124" s="196">
        <f t="shared" si="18"/>
        <v>0</v>
      </c>
      <c r="K124" s="196">
        <f t="shared" si="19"/>
        <v>0</v>
      </c>
      <c r="L124" s="196">
        <f t="shared" si="20"/>
      </c>
      <c r="M124" s="196" t="str">
        <f t="shared" si="21"/>
        <v>Select from ListOld</v>
      </c>
      <c r="N124" s="196" t="str">
        <f t="shared" si="22"/>
        <v>Select from ListOld</v>
      </c>
      <c r="O124" s="196" t="str">
        <f t="shared" si="23"/>
        <v>Select from ListOldSelect from List</v>
      </c>
      <c r="P124" s="196" t="str">
        <f t="shared" si="24"/>
        <v>Select from ListOldSelect from List</v>
      </c>
      <c r="Q124" s="196" t="str">
        <f t="shared" si="25"/>
        <v>Select from ListOld</v>
      </c>
      <c r="R124" s="259"/>
      <c r="S124" s="259"/>
      <c r="T124" s="209"/>
      <c r="U124" s="259" t="s">
        <v>546</v>
      </c>
      <c r="V124" s="421"/>
      <c r="W124" s="421"/>
      <c r="X124" s="421"/>
      <c r="Y124" s="421"/>
      <c r="Z124" s="259" t="s">
        <v>546</v>
      </c>
      <c r="AA124" s="422"/>
    </row>
    <row r="125" spans="1:27" ht="13.5" customHeight="1">
      <c r="A125" s="196">
        <f t="shared" si="13"/>
        <v>0</v>
      </c>
      <c r="B125" s="196">
        <f t="shared" si="13"/>
        <v>0</v>
      </c>
      <c r="C125" s="196">
        <f t="shared" si="13"/>
        <v>0</v>
      </c>
      <c r="D125" s="196">
        <f t="shared" si="14"/>
        <v>0</v>
      </c>
      <c r="E125" s="196">
        <f t="shared" si="15"/>
        <v>0</v>
      </c>
      <c r="F125" s="196">
        <f t="shared" si="16"/>
        <v>0</v>
      </c>
      <c r="G125" s="196">
        <f t="shared" si="17"/>
        <v>0</v>
      </c>
      <c r="H125" s="196">
        <f t="shared" si="17"/>
        <v>0</v>
      </c>
      <c r="I125" s="196">
        <f t="shared" si="18"/>
        <v>0</v>
      </c>
      <c r="J125" s="196">
        <f t="shared" si="18"/>
        <v>0</v>
      </c>
      <c r="K125" s="196">
        <f t="shared" si="19"/>
        <v>0</v>
      </c>
      <c r="L125" s="196">
        <f t="shared" si="20"/>
      </c>
      <c r="M125" s="196" t="str">
        <f t="shared" si="21"/>
        <v>Select from ListOld</v>
      </c>
      <c r="N125" s="196" t="str">
        <f t="shared" si="22"/>
        <v>Select from ListOld</v>
      </c>
      <c r="O125" s="196" t="str">
        <f t="shared" si="23"/>
        <v>Select from ListOldSelect from List</v>
      </c>
      <c r="P125" s="196" t="str">
        <f t="shared" si="24"/>
        <v>Select from ListOldSelect from List</v>
      </c>
      <c r="Q125" s="196" t="str">
        <f t="shared" si="25"/>
        <v>Select from ListOld</v>
      </c>
      <c r="R125" s="259"/>
      <c r="S125" s="259"/>
      <c r="T125" s="209"/>
      <c r="U125" s="259" t="s">
        <v>546</v>
      </c>
      <c r="V125" s="421"/>
      <c r="W125" s="421"/>
      <c r="X125" s="421"/>
      <c r="Y125" s="421"/>
      <c r="Z125" s="259" t="s">
        <v>546</v>
      </c>
      <c r="AA125" s="422"/>
    </row>
    <row r="126" spans="1:27" ht="13.5" customHeight="1">
      <c r="A126" s="196">
        <f t="shared" si="13"/>
        <v>0</v>
      </c>
      <c r="B126" s="196">
        <f t="shared" si="13"/>
        <v>0</v>
      </c>
      <c r="C126" s="196">
        <f t="shared" si="13"/>
        <v>0</v>
      </c>
      <c r="D126" s="196">
        <f t="shared" si="14"/>
        <v>0</v>
      </c>
      <c r="E126" s="196">
        <f t="shared" si="15"/>
        <v>0</v>
      </c>
      <c r="F126" s="196">
        <f t="shared" si="16"/>
        <v>0</v>
      </c>
      <c r="G126" s="196">
        <f t="shared" si="17"/>
        <v>0</v>
      </c>
      <c r="H126" s="196">
        <f t="shared" si="17"/>
        <v>0</v>
      </c>
      <c r="I126" s="196">
        <f t="shared" si="18"/>
        <v>0</v>
      </c>
      <c r="J126" s="196">
        <f t="shared" si="18"/>
        <v>0</v>
      </c>
      <c r="K126" s="196">
        <f t="shared" si="19"/>
        <v>0</v>
      </c>
      <c r="L126" s="196">
        <f t="shared" si="20"/>
      </c>
      <c r="M126" s="196" t="str">
        <f t="shared" si="21"/>
        <v>Select from ListOld</v>
      </c>
      <c r="N126" s="196" t="str">
        <f t="shared" si="22"/>
        <v>Select from ListOld</v>
      </c>
      <c r="O126" s="196" t="str">
        <f t="shared" si="23"/>
        <v>Select from ListOldSelect from List</v>
      </c>
      <c r="P126" s="196" t="str">
        <f t="shared" si="24"/>
        <v>Select from ListOldSelect from List</v>
      </c>
      <c r="Q126" s="196" t="str">
        <f t="shared" si="25"/>
        <v>Select from ListOld</v>
      </c>
      <c r="R126" s="259"/>
      <c r="S126" s="259"/>
      <c r="T126" s="209"/>
      <c r="U126" s="259" t="s">
        <v>546</v>
      </c>
      <c r="V126" s="421"/>
      <c r="W126" s="421"/>
      <c r="X126" s="421"/>
      <c r="Y126" s="421"/>
      <c r="Z126" s="259" t="s">
        <v>546</v>
      </c>
      <c r="AA126" s="422"/>
    </row>
    <row r="127" spans="1:27" ht="13.5" customHeight="1">
      <c r="A127" s="196">
        <f>IF(ISERROR(SEARCH(A$5,$R127)),0,IF(ISNUMBER(SEARCH(A$5,$R127)),$A$5,0))</f>
        <v>0</v>
      </c>
      <c r="B127" s="196">
        <f>IF(ISERROR(SEARCH(B$5,$R127)),0,IF(ISNUMBER(SEARCH(B$5,$R127)),$A$5,0))</f>
        <v>0</v>
      </c>
      <c r="C127" s="196">
        <f>IF(ISERROR(SEARCH(C$5,$R127)),0,IF(ISNUMBER(SEARCH(C$5,$R127)),$A$5,0))</f>
        <v>0</v>
      </c>
      <c r="D127" s="196">
        <f>IF(ISERROR(SEARCH(D$5,$R127)),0,IF(ISNUMBER(SEARCH(D$5,$R127)),$D$5,0))</f>
        <v>0</v>
      </c>
      <c r="E127" s="196">
        <f>IF(ISERROR(SEARCH(E$5,$R127)),0,IF(ISNUMBER(SEARCH(E$5,$R127)),$E$5,0))</f>
        <v>0</v>
      </c>
      <c r="F127" s="196">
        <f>IF(ISERROR(SEARCH(F$5,$R127)),0,IF(ISNUMBER(SEARCH(F$5,$R127)),$F$5,0))</f>
        <v>0</v>
      </c>
      <c r="G127" s="196">
        <f>IF(ISERROR(SEARCH(G$5,$R127)),0,IF(ISNUMBER(SEARCH(G$5,$R127)),$G$5,0))</f>
        <v>0</v>
      </c>
      <c r="H127" s="196">
        <f>IF(ISERROR(SEARCH(H$5,$R127)),0,IF(ISNUMBER(SEARCH(H$5,$R127)),$G$5,0))</f>
        <v>0</v>
      </c>
      <c r="I127" s="196">
        <f>IF(ISERROR(SEARCH(I$5,$R127)),0,IF(ISNUMBER(SEARCH(I$5,$R127)),$I$5,0))</f>
        <v>0</v>
      </c>
      <c r="J127" s="196">
        <f>IF(ISERROR(SEARCH(J$5,$R127)),0,IF(ISNUMBER(SEARCH(J$5,$R127)),$I$5,0))</f>
        <v>0</v>
      </c>
      <c r="K127" s="196">
        <f>IF(ISTEXT(A127),A127,IF(ISTEXT(B127),B127,IF(ISTEXT(C127),C127,IF(ISTEXT(D127),D127,IF(ISTEXT(E127),E127,IF(ISTEXT(F127),F127,IF(ISTEXT(G127),G127,0)))))))</f>
        <v>0</v>
      </c>
      <c r="L127" s="196">
        <f>IF(ISTEXT(H127),H127,IF(ISTEXT(I127),I127,IF(ISTEXT(J127),J127,IF(ISTEXT(K127),K127,""))))</f>
      </c>
      <c r="M127" s="196" t="str">
        <f>CONCATENATE($Z127,IF($T127&gt;=1999,"New","Old"),IF($V127&gt;0,"MWH",""),$L127)</f>
        <v>Select from ListOld</v>
      </c>
      <c r="N127" s="196" t="str">
        <f>CONCATENATE($Z127,IF($T127&gt;=1999,"New","Old"),IF($X127&gt;0,"MBtu",""),$L127)</f>
        <v>Select from ListOld</v>
      </c>
      <c r="O127" s="196" t="str">
        <f>CONCATENATE($Z127,IF($T127&gt;=1999,"New","Old"),IF($V127&gt;0,"MWH",""),$L127,$U127)</f>
        <v>Select from ListOldSelect from List</v>
      </c>
      <c r="P127" s="196" t="str">
        <f>CONCATENATE($Z127,IF($T127&gt;=1999,"New","Old"),IF($X127&gt;0,"MBtu",""),$L127,$U127)</f>
        <v>Select from ListOldSelect from List</v>
      </c>
      <c r="Q127" s="196" t="str">
        <f>CONCATENATE($Z127,IF($T127&gt;=1999,"New","Old"),IF($V127&gt;0,"MWH",""))</f>
        <v>Select from ListOld</v>
      </c>
      <c r="R127" s="259"/>
      <c r="S127" s="259"/>
      <c r="T127" s="209"/>
      <c r="U127" s="259" t="s">
        <v>546</v>
      </c>
      <c r="V127" s="421"/>
      <c r="W127" s="421"/>
      <c r="X127" s="421"/>
      <c r="Y127" s="421"/>
      <c r="Z127" s="259" t="s">
        <v>546</v>
      </c>
      <c r="AA127" s="422"/>
    </row>
  </sheetData>
  <sheetProtection password="FAAF" sheet="1" insertRows="0"/>
  <mergeCells count="3">
    <mergeCell ref="R3:AA3"/>
    <mergeCell ref="R1:AA1"/>
    <mergeCell ref="R2:AA2"/>
  </mergeCells>
  <conditionalFormatting sqref="T6:T127">
    <cfRule type="expression" priority="1" dxfId="0" stopIfTrue="1">
      <formula>AND(NOT($R6=""),($T6=""))</formula>
    </cfRule>
  </conditionalFormatting>
  <conditionalFormatting sqref="U6:U127">
    <cfRule type="expression" priority="2" dxfId="0" stopIfTrue="1">
      <formula>AND(NOT($R6=""),($U6=""))</formula>
    </cfRule>
  </conditionalFormatting>
  <conditionalFormatting sqref="V6:Y127">
    <cfRule type="expression" priority="4" dxfId="0" stopIfTrue="1">
      <formula>AND(NOT($R6=""),$V6="",$X6="")</formula>
    </cfRule>
  </conditionalFormatting>
  <conditionalFormatting sqref="Z6:Z127">
    <cfRule type="expression" priority="3" dxfId="0" stopIfTrue="1">
      <formula>AND(NOT($R6=""),($Z6=""))</formula>
    </cfRule>
  </conditionalFormatting>
  <dataValidations count="3">
    <dataValidation type="list" allowBlank="1" showInputMessage="1" prompt="Select from the drop-down list." sqref="Z6:Z127">
      <formula1>YN</formula1>
    </dataValidation>
    <dataValidation type="list" allowBlank="1" showInputMessage="1" prompt="Select the type of land from the drop-down list." sqref="U6:U127">
      <formula1>YN</formula1>
    </dataValidation>
    <dataValidation type="list" allowBlank="1" showInputMessage="1" prompt="Select a renewable energy system type from the drop-down list or if the system is not listed, provide a short description or title of the currently operating on-site renewable energy generation system." sqref="R6:R127">
      <formula1>REType</formula1>
    </dataValidation>
  </dataValidations>
  <printOptions horizontalCentered="1"/>
  <pageMargins left="0.75" right="0.5" top="0.5" bottom="0.5" header="0.5" footer="0.35"/>
  <pageSetup fitToHeight="1" fitToWidth="1" horizontalDpi="600" verticalDpi="600" orientation="landscape" scale="30" r:id="rId3"/>
  <headerFooter alignWithMargins="0">
    <oddFooter>&amp;L&amp;"Times New Roman,Regular"&amp;8&amp;F: &amp;A&amp;R&amp;"Times New Roman,Regular"&amp;8Page &amp;P of &amp;N</oddFooter>
  </headerFooter>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V74"/>
  <sheetViews>
    <sheetView workbookViewId="0" topLeftCell="A1">
      <selection activeCell="I22" sqref="I22"/>
    </sheetView>
  </sheetViews>
  <sheetFormatPr defaultColWidth="9.140625" defaultRowHeight="13.5" customHeight="1"/>
  <cols>
    <col min="1" max="1" width="34.28125" style="5" customWidth="1"/>
    <col min="2" max="4" width="13.7109375" style="5" customWidth="1"/>
    <col min="5" max="5" width="14.57421875" style="5" bestFit="1" customWidth="1"/>
    <col min="6" max="6" width="16.8515625" style="5" customWidth="1"/>
    <col min="7" max="7" width="12.7109375" style="5" customWidth="1"/>
    <col min="8" max="8" width="15.421875" style="5" customWidth="1"/>
    <col min="9" max="9" width="20.7109375" style="5" customWidth="1"/>
    <col min="10" max="10" width="30.7109375" style="5" customWidth="1"/>
    <col min="11" max="16384" width="9.140625" style="5" customWidth="1"/>
  </cols>
  <sheetData>
    <row r="1" spans="1:10" s="193" customFormat="1" ht="19.5" customHeight="1">
      <c r="A1" s="605" t="str">
        <f>Lists!N7</f>
        <v>Office of Legacy Management</v>
      </c>
      <c r="B1" s="605"/>
      <c r="C1" s="605"/>
      <c r="D1" s="605"/>
      <c r="E1" s="605"/>
      <c r="F1" s="605"/>
      <c r="G1" s="605"/>
      <c r="H1" s="605"/>
      <c r="I1" s="605"/>
      <c r="J1" s="605"/>
    </row>
    <row r="2" spans="1:10" s="193" customFormat="1" ht="19.5" customHeight="1">
      <c r="A2" s="605" t="s">
        <v>532</v>
      </c>
      <c r="B2" s="605"/>
      <c r="C2" s="605"/>
      <c r="D2" s="605"/>
      <c r="E2" s="605"/>
      <c r="F2" s="605"/>
      <c r="G2" s="605"/>
      <c r="H2" s="605"/>
      <c r="I2" s="605"/>
      <c r="J2" s="605"/>
    </row>
    <row r="3" spans="1:10" s="194" customFormat="1" ht="13.5" customHeight="1">
      <c r="A3" s="607" t="s">
        <v>533</v>
      </c>
      <c r="B3" s="607"/>
      <c r="C3" s="607"/>
      <c r="D3" s="607"/>
      <c r="E3" s="607"/>
      <c r="F3" s="607"/>
      <c r="G3" s="607"/>
      <c r="H3" s="607"/>
      <c r="I3" s="607"/>
      <c r="J3" s="607"/>
    </row>
    <row r="4" spans="1:7" ht="13.5" customHeight="1">
      <c r="A4" s="197"/>
      <c r="B4" s="197"/>
      <c r="C4" s="197"/>
      <c r="D4" s="197"/>
      <c r="E4" s="197"/>
      <c r="F4" s="197"/>
      <c r="G4" s="197"/>
    </row>
    <row r="5" spans="1:22" s="87" customFormat="1" ht="42" customHeight="1">
      <c r="A5" s="55" t="s">
        <v>378</v>
      </c>
      <c r="B5" s="55" t="s">
        <v>379</v>
      </c>
      <c r="C5" s="55" t="s">
        <v>382</v>
      </c>
      <c r="D5" s="55" t="s">
        <v>152</v>
      </c>
      <c r="E5" s="132" t="s">
        <v>615</v>
      </c>
      <c r="F5" s="55" t="s">
        <v>444</v>
      </c>
      <c r="G5" s="55" t="s">
        <v>317</v>
      </c>
      <c r="H5" s="55" t="s">
        <v>442</v>
      </c>
      <c r="I5" s="55" t="s">
        <v>443</v>
      </c>
      <c r="J5" s="55" t="s">
        <v>465</v>
      </c>
      <c r="T5" s="5"/>
      <c r="U5" s="5"/>
      <c r="V5" s="5"/>
    </row>
    <row r="6" spans="1:10" ht="13.5" customHeight="1">
      <c r="A6" s="213" t="s">
        <v>648</v>
      </c>
      <c r="B6" s="213" t="s">
        <v>437</v>
      </c>
      <c r="C6" s="213" t="s">
        <v>384</v>
      </c>
      <c r="D6" s="213" t="s">
        <v>441</v>
      </c>
      <c r="E6" s="213" t="s">
        <v>614</v>
      </c>
      <c r="F6" s="242">
        <v>2007</v>
      </c>
      <c r="G6" s="241" t="s">
        <v>649</v>
      </c>
      <c r="H6" s="239">
        <v>1440</v>
      </c>
      <c r="I6" s="239">
        <v>2000</v>
      </c>
      <c r="J6" s="240"/>
    </row>
    <row r="7" spans="1:10" ht="13.5" customHeight="1">
      <c r="A7" s="213" t="s">
        <v>650</v>
      </c>
      <c r="B7" s="213" t="s">
        <v>438</v>
      </c>
      <c r="C7" s="213" t="s">
        <v>384</v>
      </c>
      <c r="D7" s="213" t="s">
        <v>441</v>
      </c>
      <c r="E7" s="213" t="s">
        <v>614</v>
      </c>
      <c r="F7" s="242">
        <v>2007</v>
      </c>
      <c r="G7" s="241" t="s">
        <v>649</v>
      </c>
      <c r="H7" s="239">
        <v>144</v>
      </c>
      <c r="I7" s="239">
        <v>200</v>
      </c>
      <c r="J7" s="240"/>
    </row>
    <row r="8" spans="1:10" ht="13.5" customHeight="1">
      <c r="A8" s="213" t="s">
        <v>651</v>
      </c>
      <c r="B8" s="213" t="s">
        <v>437</v>
      </c>
      <c r="C8" s="213" t="s">
        <v>384</v>
      </c>
      <c r="D8" s="213" t="s">
        <v>441</v>
      </c>
      <c r="E8" s="213" t="s">
        <v>614</v>
      </c>
      <c r="F8" s="242">
        <v>2007</v>
      </c>
      <c r="G8" s="241" t="s">
        <v>649</v>
      </c>
      <c r="H8" s="239">
        <v>360</v>
      </c>
      <c r="I8" s="239">
        <v>500</v>
      </c>
      <c r="J8" s="240"/>
    </row>
    <row r="9" spans="1:10" ht="13.5" customHeight="1">
      <c r="A9" s="213" t="s">
        <v>435</v>
      </c>
      <c r="B9" s="213" t="s">
        <v>125</v>
      </c>
      <c r="C9" s="213" t="s">
        <v>385</v>
      </c>
      <c r="D9" s="213" t="s">
        <v>370</v>
      </c>
      <c r="E9" s="213" t="s">
        <v>614</v>
      </c>
      <c r="F9" s="242">
        <v>2010</v>
      </c>
      <c r="G9" s="241" t="s">
        <v>649</v>
      </c>
      <c r="H9" s="239">
        <v>240</v>
      </c>
      <c r="I9" s="239">
        <v>1600</v>
      </c>
      <c r="J9" s="240" t="s">
        <v>652</v>
      </c>
    </row>
    <row r="10" spans="1:10" ht="13.5" customHeight="1">
      <c r="A10" s="213"/>
      <c r="B10" s="213" t="s">
        <v>546</v>
      </c>
      <c r="C10" s="213" t="s">
        <v>546</v>
      </c>
      <c r="D10" s="213" t="s">
        <v>546</v>
      </c>
      <c r="E10" s="213" t="s">
        <v>546</v>
      </c>
      <c r="F10" s="242"/>
      <c r="G10" s="241"/>
      <c r="H10" s="239"/>
      <c r="I10" s="239"/>
      <c r="J10" s="240"/>
    </row>
    <row r="11" spans="1:10" ht="13.5" customHeight="1">
      <c r="A11" s="213"/>
      <c r="B11" s="213" t="s">
        <v>546</v>
      </c>
      <c r="C11" s="213" t="s">
        <v>546</v>
      </c>
      <c r="D11" s="213" t="s">
        <v>546</v>
      </c>
      <c r="E11" s="213" t="s">
        <v>546</v>
      </c>
      <c r="F11" s="242"/>
      <c r="G11" s="241"/>
      <c r="H11" s="239"/>
      <c r="I11" s="239"/>
      <c r="J11" s="240"/>
    </row>
    <row r="12" spans="1:10" ht="13.5" customHeight="1">
      <c r="A12" s="213"/>
      <c r="B12" s="213" t="s">
        <v>546</v>
      </c>
      <c r="C12" s="213" t="s">
        <v>546</v>
      </c>
      <c r="D12" s="213" t="s">
        <v>546</v>
      </c>
      <c r="E12" s="213" t="s">
        <v>546</v>
      </c>
      <c r="F12" s="242"/>
      <c r="G12" s="241"/>
      <c r="H12" s="239"/>
      <c r="I12" s="239"/>
      <c r="J12" s="240"/>
    </row>
    <row r="13" spans="1:10" ht="13.5" customHeight="1">
      <c r="A13" s="213"/>
      <c r="B13" s="213" t="s">
        <v>546</v>
      </c>
      <c r="C13" s="213" t="s">
        <v>546</v>
      </c>
      <c r="D13" s="213" t="s">
        <v>546</v>
      </c>
      <c r="E13" s="213" t="s">
        <v>546</v>
      </c>
      <c r="F13" s="242"/>
      <c r="G13" s="241"/>
      <c r="H13" s="239"/>
      <c r="I13" s="239"/>
      <c r="J13" s="240"/>
    </row>
    <row r="14" spans="1:10" ht="13.5" customHeight="1">
      <c r="A14" s="213"/>
      <c r="B14" s="213" t="s">
        <v>546</v>
      </c>
      <c r="C14" s="213" t="s">
        <v>546</v>
      </c>
      <c r="D14" s="213" t="s">
        <v>546</v>
      </c>
      <c r="E14" s="213" t="s">
        <v>546</v>
      </c>
      <c r="F14" s="242"/>
      <c r="G14" s="241"/>
      <c r="H14" s="239"/>
      <c r="I14" s="239"/>
      <c r="J14" s="240"/>
    </row>
    <row r="15" spans="1:10" ht="13.5" customHeight="1">
      <c r="A15" s="213"/>
      <c r="B15" s="213" t="s">
        <v>546</v>
      </c>
      <c r="C15" s="213" t="s">
        <v>546</v>
      </c>
      <c r="D15" s="213" t="s">
        <v>546</v>
      </c>
      <c r="E15" s="213" t="s">
        <v>546</v>
      </c>
      <c r="F15" s="242"/>
      <c r="G15" s="241"/>
      <c r="H15" s="239"/>
      <c r="I15" s="239"/>
      <c r="J15" s="240"/>
    </row>
    <row r="16" spans="1:10" ht="13.5" customHeight="1">
      <c r="A16" s="213"/>
      <c r="B16" s="213" t="s">
        <v>546</v>
      </c>
      <c r="C16" s="213" t="s">
        <v>546</v>
      </c>
      <c r="D16" s="213" t="s">
        <v>546</v>
      </c>
      <c r="E16" s="213" t="s">
        <v>546</v>
      </c>
      <c r="F16" s="242"/>
      <c r="G16" s="241"/>
      <c r="H16" s="239"/>
      <c r="I16" s="239"/>
      <c r="J16" s="240"/>
    </row>
    <row r="17" spans="1:10" ht="13.5" customHeight="1">
      <c r="A17" s="213"/>
      <c r="B17" s="213" t="s">
        <v>546</v>
      </c>
      <c r="C17" s="213" t="s">
        <v>546</v>
      </c>
      <c r="D17" s="213" t="s">
        <v>546</v>
      </c>
      <c r="E17" s="213" t="s">
        <v>546</v>
      </c>
      <c r="F17" s="242"/>
      <c r="G17" s="241"/>
      <c r="H17" s="239"/>
      <c r="I17" s="239"/>
      <c r="J17" s="240"/>
    </row>
    <row r="18" spans="1:10" ht="13.5" customHeight="1">
      <c r="A18" s="213"/>
      <c r="B18" s="213" t="s">
        <v>546</v>
      </c>
      <c r="C18" s="213" t="s">
        <v>546</v>
      </c>
      <c r="D18" s="213" t="s">
        <v>546</v>
      </c>
      <c r="E18" s="213" t="s">
        <v>546</v>
      </c>
      <c r="F18" s="242"/>
      <c r="G18" s="241"/>
      <c r="H18" s="239"/>
      <c r="I18" s="239"/>
      <c r="J18" s="240"/>
    </row>
    <row r="19" spans="1:10" ht="13.5" customHeight="1">
      <c r="A19" s="213"/>
      <c r="B19" s="213" t="s">
        <v>546</v>
      </c>
      <c r="C19" s="213" t="s">
        <v>546</v>
      </c>
      <c r="D19" s="213" t="s">
        <v>546</v>
      </c>
      <c r="E19" s="213" t="s">
        <v>546</v>
      </c>
      <c r="F19" s="242"/>
      <c r="G19" s="241"/>
      <c r="H19" s="239"/>
      <c r="I19" s="239"/>
      <c r="J19" s="240"/>
    </row>
    <row r="20" spans="1:10" ht="13.5" customHeight="1">
      <c r="A20" s="213"/>
      <c r="B20" s="213" t="s">
        <v>546</v>
      </c>
      <c r="C20" s="213" t="s">
        <v>546</v>
      </c>
      <c r="D20" s="213" t="s">
        <v>546</v>
      </c>
      <c r="E20" s="213" t="s">
        <v>546</v>
      </c>
      <c r="F20" s="242"/>
      <c r="G20" s="241"/>
      <c r="H20" s="239"/>
      <c r="I20" s="239"/>
      <c r="J20" s="240"/>
    </row>
    <row r="21" spans="1:10" ht="13.5" customHeight="1">
      <c r="A21" s="213"/>
      <c r="B21" s="213" t="s">
        <v>546</v>
      </c>
      <c r="C21" s="213" t="s">
        <v>546</v>
      </c>
      <c r="D21" s="213" t="s">
        <v>546</v>
      </c>
      <c r="E21" s="213" t="s">
        <v>546</v>
      </c>
      <c r="F21" s="242"/>
      <c r="G21" s="241"/>
      <c r="H21" s="239"/>
      <c r="I21" s="239"/>
      <c r="J21" s="240"/>
    </row>
    <row r="22" spans="1:10" ht="13.5" customHeight="1">
      <c r="A22" s="213"/>
      <c r="B22" s="213" t="s">
        <v>546</v>
      </c>
      <c r="C22" s="213" t="s">
        <v>546</v>
      </c>
      <c r="D22" s="213" t="s">
        <v>546</v>
      </c>
      <c r="E22" s="213" t="s">
        <v>546</v>
      </c>
      <c r="F22" s="242"/>
      <c r="G22" s="241"/>
      <c r="H22" s="239"/>
      <c r="I22" s="239"/>
      <c r="J22" s="240"/>
    </row>
    <row r="23" spans="1:10" ht="13.5" customHeight="1">
      <c r="A23" s="213"/>
      <c r="B23" s="213" t="s">
        <v>546</v>
      </c>
      <c r="C23" s="213" t="s">
        <v>546</v>
      </c>
      <c r="D23" s="213" t="s">
        <v>546</v>
      </c>
      <c r="E23" s="213" t="s">
        <v>546</v>
      </c>
      <c r="F23" s="242"/>
      <c r="G23" s="241"/>
      <c r="H23" s="239"/>
      <c r="I23" s="239"/>
      <c r="J23" s="240"/>
    </row>
    <row r="24" spans="1:10" ht="13.5" customHeight="1">
      <c r="A24" s="213"/>
      <c r="B24" s="213" t="s">
        <v>546</v>
      </c>
      <c r="C24" s="213" t="s">
        <v>546</v>
      </c>
      <c r="D24" s="213" t="s">
        <v>546</v>
      </c>
      <c r="E24" s="213" t="s">
        <v>546</v>
      </c>
      <c r="F24" s="242"/>
      <c r="G24" s="241"/>
      <c r="H24" s="239"/>
      <c r="I24" s="239"/>
      <c r="J24" s="240"/>
    </row>
    <row r="25" spans="1:10" ht="13.5" customHeight="1">
      <c r="A25" s="213"/>
      <c r="B25" s="213" t="s">
        <v>546</v>
      </c>
      <c r="C25" s="213" t="s">
        <v>546</v>
      </c>
      <c r="D25" s="213" t="s">
        <v>546</v>
      </c>
      <c r="E25" s="213" t="s">
        <v>546</v>
      </c>
      <c r="F25" s="242"/>
      <c r="G25" s="241"/>
      <c r="H25" s="239"/>
      <c r="I25" s="239"/>
      <c r="J25" s="240"/>
    </row>
    <row r="26" spans="1:10" ht="13.5" customHeight="1">
      <c r="A26" s="213"/>
      <c r="B26" s="213" t="s">
        <v>546</v>
      </c>
      <c r="C26" s="213" t="s">
        <v>546</v>
      </c>
      <c r="D26" s="213" t="s">
        <v>546</v>
      </c>
      <c r="E26" s="213" t="s">
        <v>546</v>
      </c>
      <c r="F26" s="242"/>
      <c r="G26" s="241"/>
      <c r="H26" s="239"/>
      <c r="I26" s="239"/>
      <c r="J26" s="240"/>
    </row>
    <row r="27" spans="1:10" ht="13.5" customHeight="1">
      <c r="A27" s="213"/>
      <c r="B27" s="213" t="s">
        <v>546</v>
      </c>
      <c r="C27" s="213" t="s">
        <v>546</v>
      </c>
      <c r="D27" s="213" t="s">
        <v>546</v>
      </c>
      <c r="E27" s="213" t="s">
        <v>546</v>
      </c>
      <c r="F27" s="242"/>
      <c r="G27" s="241"/>
      <c r="H27" s="239"/>
      <c r="I27" s="239"/>
      <c r="J27" s="240"/>
    </row>
    <row r="28" spans="1:10" ht="13.5" customHeight="1">
      <c r="A28" s="213"/>
      <c r="B28" s="213" t="s">
        <v>546</v>
      </c>
      <c r="C28" s="213" t="s">
        <v>546</v>
      </c>
      <c r="D28" s="213" t="s">
        <v>546</v>
      </c>
      <c r="E28" s="213" t="s">
        <v>546</v>
      </c>
      <c r="F28" s="242"/>
      <c r="G28" s="241"/>
      <c r="H28" s="239"/>
      <c r="I28" s="239"/>
      <c r="J28" s="240"/>
    </row>
    <row r="29" spans="1:10" ht="13.5" customHeight="1">
      <c r="A29" s="213"/>
      <c r="B29" s="213" t="s">
        <v>546</v>
      </c>
      <c r="C29" s="213" t="s">
        <v>546</v>
      </c>
      <c r="D29" s="213" t="s">
        <v>546</v>
      </c>
      <c r="E29" s="213" t="s">
        <v>546</v>
      </c>
      <c r="F29" s="242"/>
      <c r="G29" s="241"/>
      <c r="H29" s="239"/>
      <c r="I29" s="239"/>
      <c r="J29" s="240"/>
    </row>
    <row r="30" spans="1:10" ht="13.5" customHeight="1">
      <c r="A30" s="213"/>
      <c r="B30" s="213" t="s">
        <v>546</v>
      </c>
      <c r="C30" s="213" t="s">
        <v>546</v>
      </c>
      <c r="D30" s="213" t="s">
        <v>546</v>
      </c>
      <c r="E30" s="213" t="s">
        <v>546</v>
      </c>
      <c r="F30" s="242"/>
      <c r="G30" s="241"/>
      <c r="H30" s="239"/>
      <c r="I30" s="239"/>
      <c r="J30" s="240"/>
    </row>
    <row r="31" spans="1:10" ht="13.5" customHeight="1">
      <c r="A31" s="213"/>
      <c r="B31" s="213" t="s">
        <v>546</v>
      </c>
      <c r="C31" s="213" t="s">
        <v>546</v>
      </c>
      <c r="D31" s="213" t="s">
        <v>546</v>
      </c>
      <c r="E31" s="213" t="s">
        <v>546</v>
      </c>
      <c r="F31" s="242"/>
      <c r="G31" s="241"/>
      <c r="H31" s="239"/>
      <c r="I31" s="239"/>
      <c r="J31" s="240"/>
    </row>
    <row r="32" spans="1:10" ht="13.5" customHeight="1">
      <c r="A32" s="213"/>
      <c r="B32" s="213" t="s">
        <v>546</v>
      </c>
      <c r="C32" s="213" t="s">
        <v>546</v>
      </c>
      <c r="D32" s="213" t="s">
        <v>546</v>
      </c>
      <c r="E32" s="213" t="s">
        <v>546</v>
      </c>
      <c r="F32" s="242"/>
      <c r="G32" s="241"/>
      <c r="H32" s="239"/>
      <c r="I32" s="239"/>
      <c r="J32" s="240"/>
    </row>
    <row r="33" spans="1:10" ht="13.5" customHeight="1">
      <c r="A33" s="213"/>
      <c r="B33" s="213" t="s">
        <v>546</v>
      </c>
      <c r="C33" s="213" t="s">
        <v>546</v>
      </c>
      <c r="D33" s="213" t="s">
        <v>546</v>
      </c>
      <c r="E33" s="213" t="s">
        <v>546</v>
      </c>
      <c r="F33" s="242"/>
      <c r="G33" s="241"/>
      <c r="H33" s="239"/>
      <c r="I33" s="239"/>
      <c r="J33" s="240"/>
    </row>
    <row r="34" spans="1:10" ht="13.5" customHeight="1">
      <c r="A34" s="213"/>
      <c r="B34" s="213" t="s">
        <v>546</v>
      </c>
      <c r="C34" s="213" t="s">
        <v>546</v>
      </c>
      <c r="D34" s="213" t="s">
        <v>546</v>
      </c>
      <c r="E34" s="213" t="s">
        <v>546</v>
      </c>
      <c r="F34" s="242"/>
      <c r="G34" s="241"/>
      <c r="H34" s="239"/>
      <c r="I34" s="239"/>
      <c r="J34" s="240"/>
    </row>
    <row r="35" spans="1:10" ht="13.5" customHeight="1">
      <c r="A35" s="213"/>
      <c r="B35" s="213" t="s">
        <v>546</v>
      </c>
      <c r="C35" s="213" t="s">
        <v>546</v>
      </c>
      <c r="D35" s="213" t="s">
        <v>546</v>
      </c>
      <c r="E35" s="213" t="s">
        <v>546</v>
      </c>
      <c r="F35" s="242"/>
      <c r="G35" s="241"/>
      <c r="H35" s="239"/>
      <c r="I35" s="239"/>
      <c r="J35" s="240"/>
    </row>
    <row r="36" spans="1:10" ht="13.5" customHeight="1">
      <c r="A36" s="213"/>
      <c r="B36" s="213" t="s">
        <v>546</v>
      </c>
      <c r="C36" s="213" t="s">
        <v>546</v>
      </c>
      <c r="D36" s="213" t="s">
        <v>546</v>
      </c>
      <c r="E36" s="213" t="s">
        <v>546</v>
      </c>
      <c r="F36" s="242"/>
      <c r="G36" s="241"/>
      <c r="H36" s="239"/>
      <c r="I36" s="239"/>
      <c r="J36" s="240"/>
    </row>
    <row r="37" spans="1:10" ht="13.5" customHeight="1">
      <c r="A37" s="213"/>
      <c r="B37" s="213" t="s">
        <v>546</v>
      </c>
      <c r="C37" s="213" t="s">
        <v>546</v>
      </c>
      <c r="D37" s="213" t="s">
        <v>546</v>
      </c>
      <c r="E37" s="213" t="s">
        <v>546</v>
      </c>
      <c r="F37" s="242"/>
      <c r="G37" s="241"/>
      <c r="H37" s="239"/>
      <c r="I37" s="239"/>
      <c r="J37" s="240"/>
    </row>
    <row r="38" spans="1:10" ht="13.5" customHeight="1">
      <c r="A38" s="213"/>
      <c r="B38" s="213" t="s">
        <v>546</v>
      </c>
      <c r="C38" s="213" t="s">
        <v>546</v>
      </c>
      <c r="D38" s="213" t="s">
        <v>546</v>
      </c>
      <c r="E38" s="213" t="s">
        <v>546</v>
      </c>
      <c r="F38" s="242"/>
      <c r="G38" s="241"/>
      <c r="H38" s="239"/>
      <c r="I38" s="239"/>
      <c r="J38" s="240"/>
    </row>
    <row r="39" spans="1:10" ht="13.5" customHeight="1">
      <c r="A39" s="213"/>
      <c r="B39" s="213" t="s">
        <v>546</v>
      </c>
      <c r="C39" s="213" t="s">
        <v>546</v>
      </c>
      <c r="D39" s="213" t="s">
        <v>546</v>
      </c>
      <c r="E39" s="213" t="s">
        <v>546</v>
      </c>
      <c r="F39" s="242"/>
      <c r="G39" s="241"/>
      <c r="H39" s="239"/>
      <c r="I39" s="239"/>
      <c r="J39" s="240"/>
    </row>
    <row r="40" spans="1:10" ht="13.5" customHeight="1">
      <c r="A40" s="213"/>
      <c r="B40" s="213" t="s">
        <v>546</v>
      </c>
      <c r="C40" s="213" t="s">
        <v>546</v>
      </c>
      <c r="D40" s="213" t="s">
        <v>546</v>
      </c>
      <c r="E40" s="213" t="s">
        <v>546</v>
      </c>
      <c r="F40" s="242"/>
      <c r="G40" s="241"/>
      <c r="H40" s="239"/>
      <c r="I40" s="239"/>
      <c r="J40" s="240"/>
    </row>
    <row r="41" spans="1:10" ht="13.5" customHeight="1">
      <c r="A41" s="213"/>
      <c r="B41" s="213" t="s">
        <v>546</v>
      </c>
      <c r="C41" s="213" t="s">
        <v>546</v>
      </c>
      <c r="D41" s="213" t="s">
        <v>546</v>
      </c>
      <c r="E41" s="213" t="s">
        <v>546</v>
      </c>
      <c r="F41" s="242"/>
      <c r="G41" s="241"/>
      <c r="H41" s="239"/>
      <c r="I41" s="239"/>
      <c r="J41" s="240"/>
    </row>
    <row r="42" spans="1:10" ht="13.5" customHeight="1">
      <c r="A42" s="213"/>
      <c r="B42" s="213" t="s">
        <v>546</v>
      </c>
      <c r="C42" s="213" t="s">
        <v>546</v>
      </c>
      <c r="D42" s="213" t="s">
        <v>546</v>
      </c>
      <c r="E42" s="213" t="s">
        <v>546</v>
      </c>
      <c r="F42" s="242"/>
      <c r="G42" s="241"/>
      <c r="H42" s="239"/>
      <c r="I42" s="239"/>
      <c r="J42" s="240"/>
    </row>
    <row r="43" spans="1:10" ht="13.5" customHeight="1">
      <c r="A43" s="213"/>
      <c r="B43" s="213" t="s">
        <v>546</v>
      </c>
      <c r="C43" s="213" t="s">
        <v>546</v>
      </c>
      <c r="D43" s="213" t="s">
        <v>546</v>
      </c>
      <c r="E43" s="213" t="s">
        <v>546</v>
      </c>
      <c r="F43" s="242"/>
      <c r="G43" s="241"/>
      <c r="H43" s="239"/>
      <c r="I43" s="239"/>
      <c r="J43" s="240"/>
    </row>
    <row r="44" spans="1:10" ht="13.5" customHeight="1">
      <c r="A44" s="213"/>
      <c r="B44" s="213" t="s">
        <v>546</v>
      </c>
      <c r="C44" s="213" t="s">
        <v>546</v>
      </c>
      <c r="D44" s="213" t="s">
        <v>546</v>
      </c>
      <c r="E44" s="213" t="s">
        <v>546</v>
      </c>
      <c r="F44" s="242"/>
      <c r="G44" s="241"/>
      <c r="H44" s="239"/>
      <c r="I44" s="239"/>
      <c r="J44" s="240"/>
    </row>
    <row r="45" spans="1:10" ht="13.5" customHeight="1">
      <c r="A45" s="213"/>
      <c r="B45" s="213" t="s">
        <v>546</v>
      </c>
      <c r="C45" s="213" t="s">
        <v>546</v>
      </c>
      <c r="D45" s="213" t="s">
        <v>546</v>
      </c>
      <c r="E45" s="213" t="s">
        <v>546</v>
      </c>
      <c r="F45" s="242"/>
      <c r="G45" s="241"/>
      <c r="H45" s="239"/>
      <c r="I45" s="239"/>
      <c r="J45" s="240"/>
    </row>
    <row r="46" spans="1:10" ht="13.5" customHeight="1">
      <c r="A46" s="213"/>
      <c r="B46" s="213" t="s">
        <v>546</v>
      </c>
      <c r="C46" s="213" t="s">
        <v>546</v>
      </c>
      <c r="D46" s="213" t="s">
        <v>546</v>
      </c>
      <c r="E46" s="213" t="s">
        <v>546</v>
      </c>
      <c r="F46" s="242"/>
      <c r="G46" s="241"/>
      <c r="H46" s="239"/>
      <c r="I46" s="239"/>
      <c r="J46" s="240"/>
    </row>
    <row r="47" spans="1:10" ht="13.5" customHeight="1">
      <c r="A47" s="213"/>
      <c r="B47" s="213" t="s">
        <v>546</v>
      </c>
      <c r="C47" s="213" t="s">
        <v>546</v>
      </c>
      <c r="D47" s="213" t="s">
        <v>546</v>
      </c>
      <c r="E47" s="213" t="s">
        <v>546</v>
      </c>
      <c r="F47" s="242"/>
      <c r="G47" s="241"/>
      <c r="H47" s="239"/>
      <c r="I47" s="239"/>
      <c r="J47" s="240"/>
    </row>
    <row r="48" spans="1:10" ht="13.5" customHeight="1">
      <c r="A48" s="213"/>
      <c r="B48" s="213" t="s">
        <v>546</v>
      </c>
      <c r="C48" s="213" t="s">
        <v>546</v>
      </c>
      <c r="D48" s="213" t="s">
        <v>546</v>
      </c>
      <c r="E48" s="213" t="s">
        <v>546</v>
      </c>
      <c r="F48" s="242"/>
      <c r="G48" s="241"/>
      <c r="H48" s="239"/>
      <c r="I48" s="239"/>
      <c r="J48" s="240"/>
    </row>
    <row r="49" spans="1:10" ht="13.5" customHeight="1">
      <c r="A49" s="213"/>
      <c r="B49" s="213" t="s">
        <v>546</v>
      </c>
      <c r="C49" s="213" t="s">
        <v>546</v>
      </c>
      <c r="D49" s="213" t="s">
        <v>546</v>
      </c>
      <c r="E49" s="213" t="s">
        <v>546</v>
      </c>
      <c r="F49" s="242"/>
      <c r="G49" s="241"/>
      <c r="H49" s="239"/>
      <c r="I49" s="239"/>
      <c r="J49" s="240"/>
    </row>
    <row r="50" spans="1:10" ht="13.5" customHeight="1">
      <c r="A50" s="213"/>
      <c r="B50" s="213" t="s">
        <v>546</v>
      </c>
      <c r="C50" s="213" t="s">
        <v>546</v>
      </c>
      <c r="D50" s="213" t="s">
        <v>546</v>
      </c>
      <c r="E50" s="213" t="s">
        <v>546</v>
      </c>
      <c r="F50" s="242"/>
      <c r="G50" s="241"/>
      <c r="H50" s="239"/>
      <c r="I50" s="239"/>
      <c r="J50" s="240"/>
    </row>
    <row r="51" spans="1:9" ht="13.5" customHeight="1">
      <c r="A51" s="4"/>
      <c r="B51" s="4"/>
      <c r="C51" s="4"/>
      <c r="D51" s="4"/>
      <c r="E51" s="4"/>
      <c r="F51" s="4"/>
      <c r="G51" s="4"/>
      <c r="I51" s="198"/>
    </row>
    <row r="52" spans="1:9" ht="13.5" customHeight="1">
      <c r="A52" s="4"/>
      <c r="B52" s="4"/>
      <c r="C52" s="4"/>
      <c r="D52" s="4"/>
      <c r="E52" s="4"/>
      <c r="F52" s="4"/>
      <c r="G52" s="4"/>
      <c r="I52" s="198"/>
    </row>
    <row r="53" spans="1:9" s="52" customFormat="1" ht="13.5" customHeight="1">
      <c r="A53" s="131"/>
      <c r="B53" s="131"/>
      <c r="C53" s="131"/>
      <c r="D53" s="131"/>
      <c r="E53" s="131"/>
      <c r="F53" s="131"/>
      <c r="G53" s="131"/>
      <c r="I53" s="199"/>
    </row>
    <row r="54" s="52" customFormat="1" ht="13.5" customHeight="1">
      <c r="A54" s="200"/>
    </row>
    <row r="55" s="52" customFormat="1" ht="13.5" customHeight="1">
      <c r="I55" s="199"/>
    </row>
    <row r="56" s="52" customFormat="1" ht="13.5" customHeight="1"/>
    <row r="57" s="52" customFormat="1" ht="13.5" customHeight="1"/>
    <row r="58" s="52" customFormat="1" ht="13.5" customHeight="1"/>
    <row r="59" s="52" customFormat="1" ht="13.5" customHeight="1"/>
    <row r="60" s="52" customFormat="1" ht="13.5" customHeight="1"/>
    <row r="61" s="52" customFormat="1" ht="13.5" customHeight="1">
      <c r="A61" s="5"/>
    </row>
    <row r="62" s="52" customFormat="1" ht="13.5" customHeight="1">
      <c r="A62" s="5"/>
    </row>
    <row r="63" ht="13.5" customHeight="1">
      <c r="F63" s="52"/>
    </row>
    <row r="64" ht="13.5" customHeight="1">
      <c r="A64" s="52"/>
    </row>
    <row r="74" ht="13.5" customHeight="1">
      <c r="I74" s="201"/>
    </row>
  </sheetData>
  <sheetProtection password="FAAF" sheet="1" insertRows="0"/>
  <mergeCells count="3">
    <mergeCell ref="A1:J1"/>
    <mergeCell ref="A2:J2"/>
    <mergeCell ref="A3:J3"/>
  </mergeCells>
  <dataValidations count="5">
    <dataValidation type="list" allowBlank="1" showInputMessage="1" showErrorMessage="1" prompt="Select a funding source from the drop-down list or select &quot;Unfunded&quot; if a source has not been identified." sqref="E6:E50">
      <formula1>FleetFund</formula1>
    </dataValidation>
    <dataValidation type="list" allowBlank="1" showInputMessage="1" showErrorMessage="1" prompt="Select a fuel type from the drop-down list or enter a type." sqref="D6:D50">
      <formula1>Fuel</formula1>
    </dataValidation>
    <dataValidation type="list" allowBlank="1" showInputMessage="1" showErrorMessage="1" prompt="Select a vehicle size from the drop-down list or enter a size." sqref="C6:C50">
      <formula1>Size</formula1>
    </dataValidation>
    <dataValidation type="list" allowBlank="1" showInputMessage="1" showErrorMessage="1" prompt="Select a vehicle type from the drop-down list or enter a type." sqref="B6:B50">
      <formula1>Vehicle</formula1>
    </dataValidation>
    <dataValidation type="list" allowBlank="1" showInputMessage="1" showErrorMessage="1" prompt="Select a strategy description from the drop-down list or enter a description." sqref="A6:A50">
      <formula1>Fleet</formula1>
    </dataValidation>
  </dataValidations>
  <printOptions horizontalCentered="1"/>
  <pageMargins left="0.75" right="0.5" top="0.5" bottom="0.5" header="0.5" footer="0.35"/>
  <pageSetup fitToHeight="1" fitToWidth="1" horizontalDpi="300" verticalDpi="300" orientation="landscape" scale="68" r:id="rId3"/>
  <headerFooter alignWithMargins="0">
    <oddFooter>&amp;L&amp;"Times New Roman,Regular"&amp;8&amp;F: &amp;A&amp;R&amp;"Times New Roman,Regular"&amp;8Page &amp;P of &amp;N</oddFooter>
  </headerFooter>
  <legacyDrawing r:id="rId2"/>
</worksheet>
</file>

<file path=xl/worksheets/sheet8.xml><?xml version="1.0" encoding="utf-8"?>
<worksheet xmlns="http://schemas.openxmlformats.org/spreadsheetml/2006/main" xmlns:r="http://schemas.openxmlformats.org/officeDocument/2006/relationships">
  <sheetPr>
    <tabColor indexed="54"/>
    <pageSetUpPr fitToPage="1"/>
  </sheetPr>
  <dimension ref="A1:J62"/>
  <sheetViews>
    <sheetView zoomScalePageLayoutView="0" workbookViewId="0" topLeftCell="A1">
      <selection activeCell="C7" sqref="C7"/>
    </sheetView>
  </sheetViews>
  <sheetFormatPr defaultColWidth="10.28125" defaultRowHeight="12.75"/>
  <cols>
    <col min="1" max="1" width="10.57421875" style="168" customWidth="1"/>
    <col min="2" max="2" width="35.57421875" style="168" customWidth="1"/>
    <col min="3" max="3" width="14.421875" style="168" customWidth="1"/>
    <col min="4" max="4" width="13.8515625" style="168" bestFit="1" customWidth="1"/>
    <col min="5" max="5" width="16.7109375" style="168" customWidth="1"/>
    <col min="6" max="6" width="21.421875" style="168" customWidth="1"/>
    <col min="7" max="7" width="17.7109375" style="168" customWidth="1"/>
    <col min="8" max="8" width="25.7109375" style="168" customWidth="1"/>
    <col min="9" max="9" width="40.57421875" style="168" customWidth="1"/>
    <col min="10" max="10" width="28.421875" style="168" customWidth="1"/>
    <col min="11" max="16384" width="10.28125" style="168" customWidth="1"/>
  </cols>
  <sheetData>
    <row r="1" spans="1:10" ht="18.75" customHeight="1">
      <c r="A1" s="614" t="str">
        <f>Lists!N7</f>
        <v>Office of Legacy Management</v>
      </c>
      <c r="B1" s="614"/>
      <c r="C1" s="614"/>
      <c r="D1" s="614"/>
      <c r="E1" s="614"/>
      <c r="F1" s="614"/>
      <c r="G1" s="614"/>
      <c r="H1" s="614"/>
      <c r="I1" s="614"/>
      <c r="J1" s="614"/>
    </row>
    <row r="2" spans="1:10" ht="18.75" customHeight="1">
      <c r="A2" s="614" t="s">
        <v>482</v>
      </c>
      <c r="B2" s="614"/>
      <c r="C2" s="614"/>
      <c r="D2" s="614"/>
      <c r="E2" s="614"/>
      <c r="F2" s="614"/>
      <c r="G2" s="614"/>
      <c r="H2" s="614"/>
      <c r="I2" s="614"/>
      <c r="J2" s="614"/>
    </row>
    <row r="3" spans="1:10" ht="15.75" customHeight="1">
      <c r="A3" s="330"/>
      <c r="B3" s="330"/>
      <c r="C3" s="330"/>
      <c r="D3" s="330"/>
      <c r="E3" s="330"/>
      <c r="F3" s="330"/>
      <c r="G3" s="330"/>
      <c r="H3" s="330"/>
      <c r="I3" s="330"/>
      <c r="J3" s="330"/>
    </row>
    <row r="4" spans="1:9" ht="15.75" customHeight="1" thickBot="1">
      <c r="A4" s="158"/>
      <c r="B4" s="158"/>
      <c r="C4" s="158"/>
      <c r="D4" s="158"/>
      <c r="E4" s="158"/>
      <c r="F4" s="158"/>
      <c r="G4" s="158"/>
      <c r="H4" s="158"/>
      <c r="I4" s="158"/>
    </row>
    <row r="5" spans="1:10" ht="27.75" customHeight="1" thickBot="1">
      <c r="A5" s="617" t="s">
        <v>335</v>
      </c>
      <c r="B5" s="618"/>
      <c r="C5" s="618"/>
      <c r="D5" s="618"/>
      <c r="E5" s="618"/>
      <c r="F5" s="619"/>
      <c r="G5" s="398" t="s">
        <v>473</v>
      </c>
      <c r="H5" s="615" t="s">
        <v>474</v>
      </c>
      <c r="I5" s="616"/>
      <c r="J5" s="169" t="s">
        <v>345</v>
      </c>
    </row>
    <row r="6" spans="1:10" ht="54" customHeight="1" thickBot="1">
      <c r="A6" s="159" t="s">
        <v>487</v>
      </c>
      <c r="B6" s="160" t="s">
        <v>132</v>
      </c>
      <c r="C6" s="160" t="s">
        <v>348</v>
      </c>
      <c r="D6" s="160" t="s">
        <v>472</v>
      </c>
      <c r="E6" s="160" t="s">
        <v>486</v>
      </c>
      <c r="F6" s="161" t="s">
        <v>485</v>
      </c>
      <c r="G6" s="398" t="s">
        <v>539</v>
      </c>
      <c r="H6" s="159" t="s">
        <v>347</v>
      </c>
      <c r="I6" s="161" t="s">
        <v>346</v>
      </c>
      <c r="J6" s="169" t="s">
        <v>133</v>
      </c>
    </row>
    <row r="7" spans="1:10" ht="15.75" customHeight="1">
      <c r="A7" s="243"/>
      <c r="B7" s="244" t="s">
        <v>613</v>
      </c>
      <c r="C7" s="393">
        <v>10800</v>
      </c>
      <c r="D7" s="394"/>
      <c r="E7" s="395">
        <v>2008</v>
      </c>
      <c r="F7" s="245">
        <v>2008</v>
      </c>
      <c r="G7" s="399" t="s">
        <v>537</v>
      </c>
      <c r="H7" s="396">
        <v>0.48</v>
      </c>
      <c r="I7" s="246" t="s">
        <v>195</v>
      </c>
      <c r="J7" s="408">
        <v>0.48</v>
      </c>
    </row>
    <row r="8" spans="1:10" ht="15.75" customHeight="1">
      <c r="A8" s="243"/>
      <c r="B8" s="244"/>
      <c r="C8" s="393"/>
      <c r="D8" s="394"/>
      <c r="E8" s="395"/>
      <c r="F8" s="245"/>
      <c r="G8" s="399" t="s">
        <v>546</v>
      </c>
      <c r="H8" s="396"/>
      <c r="I8" s="246" t="s">
        <v>546</v>
      </c>
      <c r="J8" s="408"/>
    </row>
    <row r="9" spans="1:10" ht="15.75" customHeight="1">
      <c r="A9" s="243"/>
      <c r="B9" s="244"/>
      <c r="C9" s="393"/>
      <c r="D9" s="394"/>
      <c r="E9" s="395"/>
      <c r="F9" s="245"/>
      <c r="G9" s="399" t="s">
        <v>546</v>
      </c>
      <c r="H9" s="396"/>
      <c r="I9" s="246" t="s">
        <v>546</v>
      </c>
      <c r="J9" s="408"/>
    </row>
    <row r="10" spans="1:10" ht="15.75" customHeight="1">
      <c r="A10" s="243"/>
      <c r="B10" s="244"/>
      <c r="C10" s="393"/>
      <c r="D10" s="394"/>
      <c r="E10" s="395"/>
      <c r="F10" s="245"/>
      <c r="G10" s="399" t="s">
        <v>546</v>
      </c>
      <c r="H10" s="396"/>
      <c r="I10" s="246" t="s">
        <v>546</v>
      </c>
      <c r="J10" s="408"/>
    </row>
    <row r="11" spans="1:10" ht="15.75" customHeight="1">
      <c r="A11" s="243"/>
      <c r="B11" s="244"/>
      <c r="C11" s="393"/>
      <c r="D11" s="394"/>
      <c r="E11" s="395"/>
      <c r="F11" s="245"/>
      <c r="G11" s="399" t="s">
        <v>546</v>
      </c>
      <c r="H11" s="396"/>
      <c r="I11" s="246" t="s">
        <v>546</v>
      </c>
      <c r="J11" s="408"/>
    </row>
    <row r="12" spans="1:10" ht="15.75" customHeight="1">
      <c r="A12" s="243"/>
      <c r="B12" s="244"/>
      <c r="C12" s="393"/>
      <c r="D12" s="394"/>
      <c r="E12" s="395"/>
      <c r="F12" s="245"/>
      <c r="G12" s="399" t="s">
        <v>546</v>
      </c>
      <c r="H12" s="396"/>
      <c r="I12" s="246" t="s">
        <v>546</v>
      </c>
      <c r="J12" s="408"/>
    </row>
    <row r="13" spans="1:10" ht="15.75" customHeight="1">
      <c r="A13" s="243"/>
      <c r="B13" s="244"/>
      <c r="C13" s="393"/>
      <c r="D13" s="394"/>
      <c r="E13" s="395"/>
      <c r="F13" s="245"/>
      <c r="G13" s="399" t="s">
        <v>546</v>
      </c>
      <c r="H13" s="396"/>
      <c r="I13" s="246" t="s">
        <v>546</v>
      </c>
      <c r="J13" s="408"/>
    </row>
    <row r="14" spans="1:10" ht="15.75" customHeight="1">
      <c r="A14" s="243"/>
      <c r="B14" s="244"/>
      <c r="C14" s="393"/>
      <c r="D14" s="394"/>
      <c r="E14" s="395"/>
      <c r="F14" s="245"/>
      <c r="G14" s="399" t="s">
        <v>546</v>
      </c>
      <c r="H14" s="396"/>
      <c r="I14" s="246" t="s">
        <v>546</v>
      </c>
      <c r="J14" s="408"/>
    </row>
    <row r="15" spans="1:10" ht="15.75" customHeight="1">
      <c r="A15" s="243"/>
      <c r="B15" s="244"/>
      <c r="C15" s="393"/>
      <c r="D15" s="394"/>
      <c r="E15" s="395"/>
      <c r="F15" s="245"/>
      <c r="G15" s="399" t="s">
        <v>546</v>
      </c>
      <c r="H15" s="396"/>
      <c r="I15" s="246" t="s">
        <v>546</v>
      </c>
      <c r="J15" s="408"/>
    </row>
    <row r="16" spans="1:10" ht="15.75" customHeight="1">
      <c r="A16" s="243"/>
      <c r="B16" s="244"/>
      <c r="C16" s="393"/>
      <c r="D16" s="394"/>
      <c r="E16" s="395"/>
      <c r="F16" s="245"/>
      <c r="G16" s="399" t="s">
        <v>546</v>
      </c>
      <c r="H16" s="396"/>
      <c r="I16" s="246" t="s">
        <v>546</v>
      </c>
      <c r="J16" s="408"/>
    </row>
    <row r="17" spans="1:10" ht="15.75" customHeight="1">
      <c r="A17" s="243"/>
      <c r="B17" s="244"/>
      <c r="C17" s="393"/>
      <c r="D17" s="394"/>
      <c r="E17" s="395"/>
      <c r="F17" s="245"/>
      <c r="G17" s="399" t="s">
        <v>546</v>
      </c>
      <c r="H17" s="396"/>
      <c r="I17" s="246" t="s">
        <v>546</v>
      </c>
      <c r="J17" s="408"/>
    </row>
    <row r="18" spans="1:10" ht="15.75" customHeight="1">
      <c r="A18" s="243"/>
      <c r="B18" s="244"/>
      <c r="C18" s="393"/>
      <c r="D18" s="394"/>
      <c r="E18" s="395"/>
      <c r="F18" s="245"/>
      <c r="G18" s="399" t="s">
        <v>546</v>
      </c>
      <c r="H18" s="396"/>
      <c r="I18" s="246" t="s">
        <v>546</v>
      </c>
      <c r="J18" s="408"/>
    </row>
    <row r="19" spans="1:10" ht="15.75" customHeight="1">
      <c r="A19" s="243"/>
      <c r="B19" s="244"/>
      <c r="C19" s="393"/>
      <c r="D19" s="394"/>
      <c r="E19" s="395"/>
      <c r="F19" s="245"/>
      <c r="G19" s="399" t="s">
        <v>546</v>
      </c>
      <c r="H19" s="396"/>
      <c r="I19" s="246" t="s">
        <v>546</v>
      </c>
      <c r="J19" s="408"/>
    </row>
    <row r="20" spans="1:10" ht="15.75" customHeight="1">
      <c r="A20" s="243"/>
      <c r="B20" s="244"/>
      <c r="C20" s="393"/>
      <c r="D20" s="394"/>
      <c r="E20" s="395"/>
      <c r="F20" s="245"/>
      <c r="G20" s="399" t="s">
        <v>546</v>
      </c>
      <c r="H20" s="396"/>
      <c r="I20" s="246" t="s">
        <v>546</v>
      </c>
      <c r="J20" s="408"/>
    </row>
    <row r="21" spans="1:10" ht="15.75" customHeight="1">
      <c r="A21" s="243"/>
      <c r="B21" s="244"/>
      <c r="C21" s="393"/>
      <c r="D21" s="394"/>
      <c r="E21" s="395"/>
      <c r="F21" s="245"/>
      <c r="G21" s="399" t="s">
        <v>546</v>
      </c>
      <c r="H21" s="396"/>
      <c r="I21" s="246" t="s">
        <v>546</v>
      </c>
      <c r="J21" s="408"/>
    </row>
    <row r="22" spans="1:10" ht="15.75" customHeight="1">
      <c r="A22" s="243"/>
      <c r="B22" s="244"/>
      <c r="C22" s="393"/>
      <c r="D22" s="394"/>
      <c r="E22" s="395"/>
      <c r="F22" s="245"/>
      <c r="G22" s="399" t="s">
        <v>546</v>
      </c>
      <c r="H22" s="396"/>
      <c r="I22" s="246" t="s">
        <v>546</v>
      </c>
      <c r="J22" s="408"/>
    </row>
    <row r="23" spans="1:10" ht="15.75" customHeight="1">
      <c r="A23" s="243"/>
      <c r="B23" s="244"/>
      <c r="C23" s="393"/>
      <c r="D23" s="394"/>
      <c r="E23" s="395"/>
      <c r="F23" s="245"/>
      <c r="G23" s="399" t="s">
        <v>546</v>
      </c>
      <c r="H23" s="396"/>
      <c r="I23" s="246" t="s">
        <v>546</v>
      </c>
      <c r="J23" s="408"/>
    </row>
    <row r="24" spans="1:10" ht="15.75" customHeight="1">
      <c r="A24" s="243"/>
      <c r="B24" s="244"/>
      <c r="C24" s="393"/>
      <c r="D24" s="394"/>
      <c r="E24" s="395"/>
      <c r="F24" s="245"/>
      <c r="G24" s="399" t="s">
        <v>546</v>
      </c>
      <c r="H24" s="396"/>
      <c r="I24" s="246" t="s">
        <v>546</v>
      </c>
      <c r="J24" s="408"/>
    </row>
    <row r="25" spans="1:10" ht="15.75" customHeight="1">
      <c r="A25" s="243"/>
      <c r="B25" s="244"/>
      <c r="C25" s="393"/>
      <c r="D25" s="394"/>
      <c r="E25" s="395"/>
      <c r="F25" s="245"/>
      <c r="G25" s="399" t="s">
        <v>546</v>
      </c>
      <c r="H25" s="396"/>
      <c r="I25" s="246" t="s">
        <v>546</v>
      </c>
      <c r="J25" s="408"/>
    </row>
    <row r="26" spans="1:10" ht="15.75" customHeight="1">
      <c r="A26" s="243"/>
      <c r="B26" s="244"/>
      <c r="C26" s="393"/>
      <c r="D26" s="394"/>
      <c r="E26" s="395"/>
      <c r="F26" s="245"/>
      <c r="G26" s="399" t="s">
        <v>546</v>
      </c>
      <c r="H26" s="396"/>
      <c r="I26" s="246" t="s">
        <v>546</v>
      </c>
      <c r="J26" s="408"/>
    </row>
    <row r="27" spans="1:10" ht="15.75" customHeight="1">
      <c r="A27" s="243"/>
      <c r="B27" s="244"/>
      <c r="C27" s="393"/>
      <c r="D27" s="394"/>
      <c r="E27" s="395"/>
      <c r="F27" s="245"/>
      <c r="G27" s="399" t="s">
        <v>546</v>
      </c>
      <c r="H27" s="396"/>
      <c r="I27" s="246" t="s">
        <v>546</v>
      </c>
      <c r="J27" s="408"/>
    </row>
    <row r="28" spans="1:10" ht="15.75" customHeight="1">
      <c r="A28" s="243"/>
      <c r="B28" s="244"/>
      <c r="C28" s="393"/>
      <c r="D28" s="394"/>
      <c r="E28" s="395"/>
      <c r="F28" s="245"/>
      <c r="G28" s="399" t="s">
        <v>546</v>
      </c>
      <c r="H28" s="396"/>
      <c r="I28" s="246" t="s">
        <v>546</v>
      </c>
      <c r="J28" s="408"/>
    </row>
    <row r="29" spans="1:10" ht="15.75" customHeight="1">
      <c r="A29" s="243"/>
      <c r="B29" s="244"/>
      <c r="C29" s="393"/>
      <c r="D29" s="394"/>
      <c r="E29" s="395"/>
      <c r="F29" s="245"/>
      <c r="G29" s="399" t="s">
        <v>546</v>
      </c>
      <c r="H29" s="396"/>
      <c r="I29" s="246" t="s">
        <v>546</v>
      </c>
      <c r="J29" s="408"/>
    </row>
    <row r="30" spans="1:10" ht="15.75" customHeight="1">
      <c r="A30" s="243"/>
      <c r="B30" s="244"/>
      <c r="C30" s="393"/>
      <c r="D30" s="394"/>
      <c r="E30" s="395"/>
      <c r="F30" s="245"/>
      <c r="G30" s="399" t="s">
        <v>546</v>
      </c>
      <c r="H30" s="396"/>
      <c r="I30" s="246" t="s">
        <v>546</v>
      </c>
      <c r="J30" s="408"/>
    </row>
    <row r="31" spans="1:10" ht="15.75" customHeight="1">
      <c r="A31" s="243"/>
      <c r="B31" s="244"/>
      <c r="C31" s="393"/>
      <c r="D31" s="394"/>
      <c r="E31" s="395"/>
      <c r="F31" s="245"/>
      <c r="G31" s="399" t="s">
        <v>546</v>
      </c>
      <c r="H31" s="396"/>
      <c r="I31" s="246" t="s">
        <v>546</v>
      </c>
      <c r="J31" s="408"/>
    </row>
    <row r="32" spans="1:10" ht="15.75" customHeight="1">
      <c r="A32" s="243"/>
      <c r="B32" s="244"/>
      <c r="C32" s="393"/>
      <c r="D32" s="394"/>
      <c r="E32" s="395"/>
      <c r="F32" s="245"/>
      <c r="G32" s="399" t="s">
        <v>546</v>
      </c>
      <c r="H32" s="396"/>
      <c r="I32" s="246" t="s">
        <v>546</v>
      </c>
      <c r="J32" s="408"/>
    </row>
    <row r="33" spans="1:10" ht="15.75" customHeight="1">
      <c r="A33" s="243"/>
      <c r="B33" s="244"/>
      <c r="C33" s="393"/>
      <c r="D33" s="394"/>
      <c r="E33" s="395"/>
      <c r="F33" s="245"/>
      <c r="G33" s="399" t="s">
        <v>546</v>
      </c>
      <c r="H33" s="396"/>
      <c r="I33" s="246" t="s">
        <v>546</v>
      </c>
      <c r="J33" s="408"/>
    </row>
    <row r="34" spans="1:10" ht="15.75" customHeight="1">
      <c r="A34" s="243"/>
      <c r="B34" s="244"/>
      <c r="C34" s="393"/>
      <c r="D34" s="394"/>
      <c r="E34" s="395"/>
      <c r="F34" s="245"/>
      <c r="G34" s="399" t="s">
        <v>546</v>
      </c>
      <c r="H34" s="396"/>
      <c r="I34" s="246" t="s">
        <v>546</v>
      </c>
      <c r="J34" s="408"/>
    </row>
    <row r="35" spans="1:10" ht="15.75" customHeight="1">
      <c r="A35" s="243"/>
      <c r="B35" s="244"/>
      <c r="C35" s="393"/>
      <c r="D35" s="394"/>
      <c r="E35" s="395"/>
      <c r="F35" s="245"/>
      <c r="G35" s="399" t="s">
        <v>546</v>
      </c>
      <c r="H35" s="396"/>
      <c r="I35" s="246" t="s">
        <v>546</v>
      </c>
      <c r="J35" s="408"/>
    </row>
    <row r="36" spans="1:10" ht="15.75" customHeight="1">
      <c r="A36" s="243"/>
      <c r="B36" s="244"/>
      <c r="C36" s="393"/>
      <c r="D36" s="394"/>
      <c r="E36" s="395"/>
      <c r="F36" s="245"/>
      <c r="G36" s="399" t="s">
        <v>546</v>
      </c>
      <c r="H36" s="396"/>
      <c r="I36" s="246" t="s">
        <v>546</v>
      </c>
      <c r="J36" s="408"/>
    </row>
    <row r="37" spans="1:10" ht="15.75" customHeight="1">
      <c r="A37" s="243"/>
      <c r="B37" s="244"/>
      <c r="C37" s="393"/>
      <c r="D37" s="394"/>
      <c r="E37" s="395"/>
      <c r="F37" s="245"/>
      <c r="G37" s="399" t="s">
        <v>546</v>
      </c>
      <c r="H37" s="396"/>
      <c r="I37" s="246" t="s">
        <v>546</v>
      </c>
      <c r="J37" s="408"/>
    </row>
    <row r="38" spans="1:10" ht="15.75" customHeight="1">
      <c r="A38" s="243"/>
      <c r="B38" s="244"/>
      <c r="C38" s="393"/>
      <c r="D38" s="394"/>
      <c r="E38" s="395"/>
      <c r="F38" s="245"/>
      <c r="G38" s="399" t="s">
        <v>546</v>
      </c>
      <c r="H38" s="396"/>
      <c r="I38" s="246" t="s">
        <v>546</v>
      </c>
      <c r="J38" s="408"/>
    </row>
    <row r="39" spans="1:10" ht="15.75" customHeight="1">
      <c r="A39" s="243"/>
      <c r="B39" s="244"/>
      <c r="C39" s="393"/>
      <c r="D39" s="394"/>
      <c r="E39" s="395"/>
      <c r="F39" s="245"/>
      <c r="G39" s="399" t="s">
        <v>546</v>
      </c>
      <c r="H39" s="396"/>
      <c r="I39" s="246" t="s">
        <v>546</v>
      </c>
      <c r="J39" s="408"/>
    </row>
    <row r="40" spans="1:10" ht="15.75" customHeight="1">
      <c r="A40" s="243"/>
      <c r="B40" s="244"/>
      <c r="C40" s="393"/>
      <c r="D40" s="394"/>
      <c r="E40" s="395"/>
      <c r="F40" s="245"/>
      <c r="G40" s="399" t="s">
        <v>546</v>
      </c>
      <c r="H40" s="396"/>
      <c r="I40" s="246" t="s">
        <v>546</v>
      </c>
      <c r="J40" s="408"/>
    </row>
    <row r="41" spans="1:10" ht="15.75" customHeight="1">
      <c r="A41" s="243"/>
      <c r="B41" s="244"/>
      <c r="C41" s="393"/>
      <c r="D41" s="394"/>
      <c r="E41" s="395"/>
      <c r="F41" s="245"/>
      <c r="G41" s="399" t="s">
        <v>546</v>
      </c>
      <c r="H41" s="396"/>
      <c r="I41" s="246" t="s">
        <v>546</v>
      </c>
      <c r="J41" s="408"/>
    </row>
    <row r="42" spans="1:10" ht="15.75" customHeight="1">
      <c r="A42" s="243"/>
      <c r="B42" s="244"/>
      <c r="C42" s="393"/>
      <c r="D42" s="394"/>
      <c r="E42" s="395"/>
      <c r="F42" s="245"/>
      <c r="G42" s="399" t="s">
        <v>546</v>
      </c>
      <c r="H42" s="396"/>
      <c r="I42" s="246" t="s">
        <v>546</v>
      </c>
      <c r="J42" s="408"/>
    </row>
    <row r="43" spans="1:10" ht="15.75" customHeight="1">
      <c r="A43" s="243"/>
      <c r="B43" s="244"/>
      <c r="C43" s="393"/>
      <c r="D43" s="394"/>
      <c r="E43" s="395"/>
      <c r="F43" s="245"/>
      <c r="G43" s="399" t="s">
        <v>546</v>
      </c>
      <c r="H43" s="396"/>
      <c r="I43" s="246" t="s">
        <v>546</v>
      </c>
      <c r="J43" s="408"/>
    </row>
    <row r="44" spans="1:10" ht="15.75" customHeight="1">
      <c r="A44" s="243"/>
      <c r="B44" s="244"/>
      <c r="C44" s="393"/>
      <c r="D44" s="394"/>
      <c r="E44" s="395"/>
      <c r="F44" s="245"/>
      <c r="G44" s="399" t="s">
        <v>546</v>
      </c>
      <c r="H44" s="396"/>
      <c r="I44" s="246" t="s">
        <v>546</v>
      </c>
      <c r="J44" s="408"/>
    </row>
    <row r="45" spans="1:10" ht="15.75" customHeight="1">
      <c r="A45" s="243"/>
      <c r="B45" s="244"/>
      <c r="C45" s="393"/>
      <c r="D45" s="394"/>
      <c r="E45" s="395"/>
      <c r="F45" s="245"/>
      <c r="G45" s="399" t="s">
        <v>546</v>
      </c>
      <c r="H45" s="396"/>
      <c r="I45" s="246" t="s">
        <v>546</v>
      </c>
      <c r="J45" s="408"/>
    </row>
    <row r="46" spans="1:10" ht="15.75" customHeight="1">
      <c r="A46" s="243"/>
      <c r="B46" s="244"/>
      <c r="C46" s="393"/>
      <c r="D46" s="394"/>
      <c r="E46" s="395"/>
      <c r="F46" s="245"/>
      <c r="G46" s="399" t="s">
        <v>546</v>
      </c>
      <c r="H46" s="396"/>
      <c r="I46" s="246" t="s">
        <v>546</v>
      </c>
      <c r="J46" s="408"/>
    </row>
    <row r="47" spans="1:10" ht="15.75" customHeight="1">
      <c r="A47" s="243"/>
      <c r="B47" s="244"/>
      <c r="C47" s="393"/>
      <c r="D47" s="394"/>
      <c r="E47" s="395"/>
      <c r="F47" s="245"/>
      <c r="G47" s="399" t="s">
        <v>546</v>
      </c>
      <c r="H47" s="396"/>
      <c r="I47" s="246" t="s">
        <v>546</v>
      </c>
      <c r="J47" s="408"/>
    </row>
    <row r="48" spans="1:10" ht="15.75" customHeight="1">
      <c r="A48" s="243"/>
      <c r="B48" s="244"/>
      <c r="C48" s="393"/>
      <c r="D48" s="394"/>
      <c r="E48" s="395"/>
      <c r="F48" s="245"/>
      <c r="G48" s="399" t="s">
        <v>546</v>
      </c>
      <c r="H48" s="396"/>
      <c r="I48" s="246" t="s">
        <v>546</v>
      </c>
      <c r="J48" s="408"/>
    </row>
    <row r="49" spans="1:10" ht="15.75" customHeight="1">
      <c r="A49" s="243"/>
      <c r="B49" s="244"/>
      <c r="C49" s="393"/>
      <c r="D49" s="394"/>
      <c r="E49" s="395"/>
      <c r="F49" s="245"/>
      <c r="G49" s="399" t="s">
        <v>546</v>
      </c>
      <c r="H49" s="396"/>
      <c r="I49" s="246" t="s">
        <v>546</v>
      </c>
      <c r="J49" s="408"/>
    </row>
    <row r="50" spans="1:10" ht="15.75" customHeight="1">
      <c r="A50" s="243"/>
      <c r="B50" s="244"/>
      <c r="C50" s="393"/>
      <c r="D50" s="394"/>
      <c r="E50" s="395"/>
      <c r="F50" s="245"/>
      <c r="G50" s="399" t="s">
        <v>546</v>
      </c>
      <c r="H50" s="396"/>
      <c r="I50" s="246" t="s">
        <v>546</v>
      </c>
      <c r="J50" s="408"/>
    </row>
    <row r="51" spans="1:10" ht="15.75" customHeight="1">
      <c r="A51" s="243"/>
      <c r="B51" s="244"/>
      <c r="C51" s="393"/>
      <c r="D51" s="394"/>
      <c r="E51" s="395"/>
      <c r="F51" s="245"/>
      <c r="G51" s="399" t="s">
        <v>546</v>
      </c>
      <c r="H51" s="396"/>
      <c r="I51" s="246" t="s">
        <v>546</v>
      </c>
      <c r="J51" s="408"/>
    </row>
    <row r="52" spans="1:10" ht="15.75" customHeight="1">
      <c r="A52" s="243"/>
      <c r="B52" s="244"/>
      <c r="C52" s="393"/>
      <c r="D52" s="394"/>
      <c r="E52" s="395"/>
      <c r="F52" s="245"/>
      <c r="G52" s="399" t="s">
        <v>546</v>
      </c>
      <c r="H52" s="396"/>
      <c r="I52" s="246" t="s">
        <v>546</v>
      </c>
      <c r="J52" s="408"/>
    </row>
    <row r="53" spans="1:10" ht="15.75" customHeight="1">
      <c r="A53" s="243"/>
      <c r="B53" s="244"/>
      <c r="C53" s="393"/>
      <c r="D53" s="394"/>
      <c r="E53" s="395"/>
      <c r="F53" s="245"/>
      <c r="G53" s="399" t="s">
        <v>546</v>
      </c>
      <c r="H53" s="396"/>
      <c r="I53" s="246" t="s">
        <v>546</v>
      </c>
      <c r="J53" s="408"/>
    </row>
    <row r="54" spans="1:10" ht="15.75" customHeight="1">
      <c r="A54" s="243"/>
      <c r="B54" s="244"/>
      <c r="C54" s="393"/>
      <c r="D54" s="394"/>
      <c r="E54" s="395"/>
      <c r="F54" s="245"/>
      <c r="G54" s="399" t="s">
        <v>546</v>
      </c>
      <c r="H54" s="396"/>
      <c r="I54" s="246" t="s">
        <v>546</v>
      </c>
      <c r="J54" s="408"/>
    </row>
    <row r="55" spans="1:10" ht="15.75" customHeight="1">
      <c r="A55" s="243"/>
      <c r="B55" s="244"/>
      <c r="C55" s="393"/>
      <c r="D55" s="394"/>
      <c r="E55" s="395"/>
      <c r="F55" s="245"/>
      <c r="G55" s="399" t="s">
        <v>546</v>
      </c>
      <c r="H55" s="396"/>
      <c r="I55" s="246" t="s">
        <v>546</v>
      </c>
      <c r="J55" s="408"/>
    </row>
    <row r="56" spans="1:10" ht="15.75" customHeight="1">
      <c r="A56" s="243"/>
      <c r="B56" s="244"/>
      <c r="C56" s="393"/>
      <c r="D56" s="394"/>
      <c r="E56" s="395"/>
      <c r="F56" s="245"/>
      <c r="G56" s="399" t="s">
        <v>546</v>
      </c>
      <c r="H56" s="396"/>
      <c r="I56" s="246" t="s">
        <v>546</v>
      </c>
      <c r="J56" s="408"/>
    </row>
    <row r="57" spans="1:10" ht="15.75" customHeight="1">
      <c r="A57" s="243"/>
      <c r="B57" s="244"/>
      <c r="C57" s="393"/>
      <c r="D57" s="394"/>
      <c r="E57" s="395"/>
      <c r="F57" s="245"/>
      <c r="G57" s="399" t="s">
        <v>546</v>
      </c>
      <c r="H57" s="396"/>
      <c r="I57" s="246" t="s">
        <v>546</v>
      </c>
      <c r="J57" s="408"/>
    </row>
    <row r="58" spans="1:10" ht="15.75" customHeight="1">
      <c r="A58" s="243"/>
      <c r="B58" s="244"/>
      <c r="C58" s="393"/>
      <c r="D58" s="394"/>
      <c r="E58" s="395"/>
      <c r="F58" s="245"/>
      <c r="G58" s="399" t="s">
        <v>546</v>
      </c>
      <c r="H58" s="396"/>
      <c r="I58" s="246" t="s">
        <v>546</v>
      </c>
      <c r="J58" s="408"/>
    </row>
    <row r="59" spans="1:10" ht="15.75" customHeight="1">
      <c r="A59" s="243"/>
      <c r="B59" s="244"/>
      <c r="C59" s="393"/>
      <c r="D59" s="394"/>
      <c r="E59" s="395"/>
      <c r="F59" s="245"/>
      <c r="G59" s="399" t="s">
        <v>546</v>
      </c>
      <c r="H59" s="396"/>
      <c r="I59" s="246" t="s">
        <v>546</v>
      </c>
      <c r="J59" s="408"/>
    </row>
    <row r="60" spans="1:10" ht="15.75" customHeight="1" thickBot="1">
      <c r="A60" s="247"/>
      <c r="B60" s="248"/>
      <c r="C60" s="401"/>
      <c r="D60" s="402"/>
      <c r="E60" s="403"/>
      <c r="F60" s="249"/>
      <c r="G60" s="400" t="s">
        <v>546</v>
      </c>
      <c r="H60" s="397"/>
      <c r="I60" s="250" t="s">
        <v>546</v>
      </c>
      <c r="J60" s="409"/>
    </row>
    <row r="61" spans="1:7" ht="13.5" customHeight="1" hidden="1">
      <c r="A61" s="608" t="s">
        <v>361</v>
      </c>
      <c r="B61" s="609"/>
      <c r="C61" s="609"/>
      <c r="D61" s="609"/>
      <c r="E61" s="609"/>
      <c r="F61" s="610"/>
      <c r="G61" s="423">
        <f>COUNT(B7:B60)</f>
        <v>0</v>
      </c>
    </row>
    <row r="62" spans="1:7" ht="27.75" customHeight="1" hidden="1" thickBot="1">
      <c r="A62" s="611" t="s">
        <v>362</v>
      </c>
      <c r="B62" s="612"/>
      <c r="C62" s="612"/>
      <c r="D62" s="612"/>
      <c r="E62" s="612"/>
      <c r="F62" s="613"/>
      <c r="G62" s="280">
        <f>COUNTIF(I7:I60,"YES")</f>
        <v>1</v>
      </c>
    </row>
  </sheetData>
  <sheetProtection password="FAAF" sheet="1" insertRows="0"/>
  <mergeCells count="6">
    <mergeCell ref="A61:F61"/>
    <mergeCell ref="A62:F62"/>
    <mergeCell ref="A1:J1"/>
    <mergeCell ref="A2:J2"/>
    <mergeCell ref="H5:I5"/>
    <mergeCell ref="A5:F5"/>
  </mergeCells>
  <dataValidations count="2">
    <dataValidation type="list" allowBlank="1" showInputMessage="1" prompt="Select from the drop-down list." sqref="I7:I60">
      <formula1>YN</formula1>
    </dataValidation>
    <dataValidation type="list" allowBlank="1" showInputMessage="1" showErrorMessage="1" prompt="Select a LEED level or GP from the drop-down list." sqref="G7:G60">
      <formula1>HPSB</formula1>
    </dataValidation>
  </dataValidations>
  <printOptions horizontalCentered="1"/>
  <pageMargins left="0.75" right="0.5" top="0.5" bottom="0.5" header="0.5" footer="0.35"/>
  <pageSetup fitToHeight="1" fitToWidth="1" horizontalDpi="600" verticalDpi="600" orientation="landscape" scale="55" r:id="rId3"/>
  <headerFooter alignWithMargins="0">
    <oddFooter>&amp;L&amp;"Times New Roman,Regular"&amp;8&amp;F: &amp;A&amp;R&amp;"Times New Roman,Regular"&amp;8Page &amp;P of &amp;N</oddFooter>
  </headerFooter>
  <legacyDrawing r:id="rId2"/>
</worksheet>
</file>

<file path=xl/worksheets/sheet9.xml><?xml version="1.0" encoding="utf-8"?>
<worksheet xmlns="http://schemas.openxmlformats.org/spreadsheetml/2006/main" xmlns:r="http://schemas.openxmlformats.org/officeDocument/2006/relationships">
  <sheetPr>
    <tabColor indexed="54"/>
    <pageSetUpPr fitToPage="1"/>
  </sheetPr>
  <dimension ref="A1:R61"/>
  <sheetViews>
    <sheetView zoomScalePageLayoutView="0" workbookViewId="0" topLeftCell="E1">
      <selection activeCell="K37" sqref="K37"/>
    </sheetView>
  </sheetViews>
  <sheetFormatPr defaultColWidth="10.28125" defaultRowHeight="12.75"/>
  <cols>
    <col min="1" max="1" width="23.421875" style="426" customWidth="1"/>
    <col min="2" max="2" width="13.8515625" style="426" customWidth="1"/>
    <col min="3" max="3" width="14.8515625" style="426" customWidth="1"/>
    <col min="4" max="9" width="12.7109375" style="426" customWidth="1"/>
    <col min="10" max="10" width="16.7109375" style="426" customWidth="1"/>
    <col min="11" max="12" width="12.7109375" style="426" customWidth="1"/>
    <col min="13" max="14" width="15.28125" style="426" customWidth="1"/>
    <col min="15" max="15" width="15.421875" style="426" customWidth="1"/>
    <col min="16" max="17" width="12.7109375" style="426" customWidth="1"/>
    <col min="18" max="18" width="14.57421875" style="426" customWidth="1"/>
    <col min="19" max="16384" width="10.28125" style="426" customWidth="1"/>
  </cols>
  <sheetData>
    <row r="1" spans="1:18" s="424" customFormat="1" ht="18.75">
      <c r="A1" s="614" t="str">
        <f>Lists!N7</f>
        <v>Office of Legacy Management</v>
      </c>
      <c r="B1" s="614"/>
      <c r="C1" s="614"/>
      <c r="D1" s="614"/>
      <c r="E1" s="614"/>
      <c r="F1" s="614"/>
      <c r="G1" s="614"/>
      <c r="H1" s="614"/>
      <c r="I1" s="614"/>
      <c r="J1" s="614"/>
      <c r="K1" s="614"/>
      <c r="L1" s="614"/>
      <c r="M1" s="614"/>
      <c r="N1" s="614"/>
      <c r="O1" s="614"/>
      <c r="P1" s="614"/>
      <c r="Q1" s="614"/>
      <c r="R1" s="614"/>
    </row>
    <row r="2" spans="1:18" s="424" customFormat="1" ht="18.75">
      <c r="A2" s="614" t="s">
        <v>403</v>
      </c>
      <c r="B2" s="614"/>
      <c r="C2" s="614"/>
      <c r="D2" s="614"/>
      <c r="E2" s="614"/>
      <c r="F2" s="614"/>
      <c r="G2" s="614"/>
      <c r="H2" s="614"/>
      <c r="I2" s="614"/>
      <c r="J2" s="614"/>
      <c r="K2" s="614"/>
      <c r="L2" s="614"/>
      <c r="M2" s="614"/>
      <c r="N2" s="614"/>
      <c r="O2" s="614"/>
      <c r="P2" s="614"/>
      <c r="Q2" s="614"/>
      <c r="R2" s="614"/>
    </row>
    <row r="3" spans="1:13" s="425" customFormat="1" ht="15.75" customHeight="1" thickBot="1">
      <c r="A3" s="170"/>
      <c r="B3" s="170"/>
      <c r="C3" s="170"/>
      <c r="D3" s="170"/>
      <c r="E3" s="170"/>
      <c r="F3" s="170"/>
      <c r="G3" s="170"/>
      <c r="H3" s="170"/>
      <c r="I3" s="170"/>
      <c r="J3" s="170"/>
      <c r="K3" s="170"/>
      <c r="L3" s="170"/>
      <c r="M3" s="170"/>
    </row>
    <row r="4" spans="1:12" s="168" customFormat="1" ht="15.75" customHeight="1">
      <c r="A4" s="626" t="s">
        <v>540</v>
      </c>
      <c r="B4" s="627"/>
      <c r="C4" s="428">
        <v>0</v>
      </c>
      <c r="D4" s="158"/>
      <c r="E4" s="158"/>
      <c r="F4" s="158"/>
      <c r="G4" s="158"/>
      <c r="H4" s="158"/>
      <c r="I4" s="158"/>
      <c r="J4" s="158"/>
      <c r="K4" s="158"/>
      <c r="L4" s="158"/>
    </row>
    <row r="5" spans="1:12" s="168" customFormat="1" ht="15.75" customHeight="1">
      <c r="A5" s="628" t="s">
        <v>558</v>
      </c>
      <c r="B5" s="629"/>
      <c r="C5" s="371">
        <f>SUM(B9:B61)</f>
        <v>20624</v>
      </c>
      <c r="D5" s="158"/>
      <c r="E5" s="158"/>
      <c r="F5" s="158"/>
      <c r="G5" s="158"/>
      <c r="H5" s="158"/>
      <c r="I5" s="158"/>
      <c r="J5" s="158"/>
      <c r="K5" s="158"/>
      <c r="L5" s="158"/>
    </row>
    <row r="6" spans="1:12" s="168" customFormat="1" ht="15.75" customHeight="1" thickBot="1">
      <c r="A6" s="630" t="s">
        <v>559</v>
      </c>
      <c r="B6" s="631"/>
      <c r="C6" s="372" t="e">
        <f>C5/C4</f>
        <v>#DIV/0!</v>
      </c>
      <c r="D6" s="158"/>
      <c r="E6" s="158"/>
      <c r="F6" s="158"/>
      <c r="G6" s="158"/>
      <c r="H6" s="158"/>
      <c r="I6" s="158"/>
      <c r="J6" s="158"/>
      <c r="K6" s="158"/>
      <c r="L6" s="158"/>
    </row>
    <row r="7" spans="1:18" ht="15.75" customHeight="1" thickBot="1">
      <c r="A7" s="617" t="s">
        <v>335</v>
      </c>
      <c r="B7" s="618"/>
      <c r="C7" s="619"/>
      <c r="D7" s="620" t="s">
        <v>401</v>
      </c>
      <c r="E7" s="621"/>
      <c r="F7" s="621"/>
      <c r="G7" s="621"/>
      <c r="H7" s="621"/>
      <c r="I7" s="621"/>
      <c r="J7" s="622"/>
      <c r="K7" s="623" t="s">
        <v>542</v>
      </c>
      <c r="L7" s="624"/>
      <c r="M7" s="624"/>
      <c r="N7" s="624"/>
      <c r="O7" s="624"/>
      <c r="P7" s="624"/>
      <c r="Q7" s="624"/>
      <c r="R7" s="625"/>
    </row>
    <row r="8" spans="1:18" s="427" customFormat="1" ht="90" thickBot="1">
      <c r="A8" s="159" t="s">
        <v>132</v>
      </c>
      <c r="B8" s="160" t="s">
        <v>562</v>
      </c>
      <c r="C8" s="161" t="s">
        <v>396</v>
      </c>
      <c r="D8" s="457" t="s">
        <v>476</v>
      </c>
      <c r="E8" s="458" t="s">
        <v>407</v>
      </c>
      <c r="F8" s="458" t="s">
        <v>408</v>
      </c>
      <c r="G8" s="458" t="s">
        <v>409</v>
      </c>
      <c r="H8" s="458" t="s">
        <v>410</v>
      </c>
      <c r="I8" s="458" t="s">
        <v>411</v>
      </c>
      <c r="J8" s="459" t="s">
        <v>541</v>
      </c>
      <c r="K8" s="460" t="s">
        <v>477</v>
      </c>
      <c r="L8" s="461" t="s">
        <v>336</v>
      </c>
      <c r="M8" s="462" t="s">
        <v>478</v>
      </c>
      <c r="N8" s="462" t="s">
        <v>479</v>
      </c>
      <c r="O8" s="461" t="s">
        <v>483</v>
      </c>
      <c r="P8" s="461" t="s">
        <v>480</v>
      </c>
      <c r="Q8" s="461" t="s">
        <v>412</v>
      </c>
      <c r="R8" s="463" t="s">
        <v>481</v>
      </c>
    </row>
    <row r="9" spans="1:18" ht="15.75" customHeight="1">
      <c r="A9" s="244" t="s">
        <v>613</v>
      </c>
      <c r="B9" s="406">
        <v>10800</v>
      </c>
      <c r="C9" s="253" t="s">
        <v>535</v>
      </c>
      <c r="D9" s="251"/>
      <c r="E9" s="252" t="s">
        <v>398</v>
      </c>
      <c r="F9" s="252" t="s">
        <v>398</v>
      </c>
      <c r="G9" s="252" t="s">
        <v>398</v>
      </c>
      <c r="H9" s="252" t="s">
        <v>398</v>
      </c>
      <c r="I9" s="252" t="s">
        <v>398</v>
      </c>
      <c r="J9" s="466">
        <v>40086</v>
      </c>
      <c r="K9" s="255"/>
      <c r="L9" s="331"/>
      <c r="M9" s="404"/>
      <c r="N9" s="404"/>
      <c r="O9" s="252" t="s">
        <v>537</v>
      </c>
      <c r="P9" s="252">
        <v>2.2</v>
      </c>
      <c r="Q9" s="252" t="s">
        <v>538</v>
      </c>
      <c r="R9" s="466">
        <v>40086</v>
      </c>
    </row>
    <row r="10" spans="1:18" ht="15.75" customHeight="1">
      <c r="A10" s="251" t="s">
        <v>640</v>
      </c>
      <c r="B10" s="406">
        <v>9824</v>
      </c>
      <c r="C10" s="253" t="s">
        <v>535</v>
      </c>
      <c r="D10" s="467">
        <v>39970</v>
      </c>
      <c r="E10" s="252" t="s">
        <v>546</v>
      </c>
      <c r="F10" s="252" t="s">
        <v>546</v>
      </c>
      <c r="G10" s="252" t="s">
        <v>546</v>
      </c>
      <c r="H10" s="252" t="s">
        <v>546</v>
      </c>
      <c r="I10" s="252" t="s">
        <v>546</v>
      </c>
      <c r="J10" s="466">
        <v>41182</v>
      </c>
      <c r="K10" s="255"/>
      <c r="L10" s="331"/>
      <c r="M10" s="404"/>
      <c r="N10" s="404"/>
      <c r="O10" s="252" t="s">
        <v>536</v>
      </c>
      <c r="P10" s="252">
        <v>3</v>
      </c>
      <c r="Q10" s="252" t="s">
        <v>546</v>
      </c>
      <c r="R10" s="468">
        <v>41182</v>
      </c>
    </row>
    <row r="11" spans="1:18" ht="15.75" customHeight="1">
      <c r="A11" s="251"/>
      <c r="B11" s="252"/>
      <c r="C11" s="253" t="s">
        <v>546</v>
      </c>
      <c r="D11" s="251"/>
      <c r="E11" s="252" t="s">
        <v>546</v>
      </c>
      <c r="F11" s="252" t="s">
        <v>546</v>
      </c>
      <c r="G11" s="252" t="s">
        <v>546</v>
      </c>
      <c r="H11" s="252" t="s">
        <v>546</v>
      </c>
      <c r="I11" s="252" t="s">
        <v>546</v>
      </c>
      <c r="J11" s="254"/>
      <c r="K11" s="255"/>
      <c r="L11" s="331"/>
      <c r="M11" s="404"/>
      <c r="N11" s="404"/>
      <c r="O11" s="252" t="s">
        <v>546</v>
      </c>
      <c r="P11" s="252" t="s">
        <v>546</v>
      </c>
      <c r="Q11" s="252" t="s">
        <v>546</v>
      </c>
      <c r="R11" s="256"/>
    </row>
    <row r="12" spans="1:18" ht="15.75" customHeight="1">
      <c r="A12" s="251"/>
      <c r="B12" s="252"/>
      <c r="C12" s="253" t="s">
        <v>546</v>
      </c>
      <c r="D12" s="251"/>
      <c r="E12" s="252" t="s">
        <v>546</v>
      </c>
      <c r="F12" s="252" t="s">
        <v>546</v>
      </c>
      <c r="G12" s="252" t="s">
        <v>546</v>
      </c>
      <c r="H12" s="252" t="s">
        <v>546</v>
      </c>
      <c r="I12" s="252" t="s">
        <v>546</v>
      </c>
      <c r="J12" s="254"/>
      <c r="K12" s="255"/>
      <c r="L12" s="331"/>
      <c r="M12" s="404"/>
      <c r="N12" s="404"/>
      <c r="O12" s="252" t="s">
        <v>546</v>
      </c>
      <c r="P12" s="252" t="s">
        <v>546</v>
      </c>
      <c r="Q12" s="252" t="s">
        <v>546</v>
      </c>
      <c r="R12" s="256"/>
    </row>
    <row r="13" spans="1:18" ht="15.75" customHeight="1">
      <c r="A13" s="251"/>
      <c r="B13" s="252"/>
      <c r="C13" s="253" t="s">
        <v>546</v>
      </c>
      <c r="D13" s="251"/>
      <c r="E13" s="252" t="s">
        <v>546</v>
      </c>
      <c r="F13" s="252" t="s">
        <v>546</v>
      </c>
      <c r="G13" s="252" t="s">
        <v>546</v>
      </c>
      <c r="H13" s="252" t="s">
        <v>546</v>
      </c>
      <c r="I13" s="252" t="s">
        <v>546</v>
      </c>
      <c r="J13" s="254"/>
      <c r="K13" s="255"/>
      <c r="L13" s="331"/>
      <c r="M13" s="404"/>
      <c r="N13" s="404"/>
      <c r="O13" s="252" t="s">
        <v>546</v>
      </c>
      <c r="P13" s="252" t="s">
        <v>546</v>
      </c>
      <c r="Q13" s="252" t="s">
        <v>546</v>
      </c>
      <c r="R13" s="256"/>
    </row>
    <row r="14" spans="1:18" ht="15.75" customHeight="1">
      <c r="A14" s="251"/>
      <c r="B14" s="252"/>
      <c r="C14" s="253" t="s">
        <v>546</v>
      </c>
      <c r="D14" s="251"/>
      <c r="E14" s="252" t="s">
        <v>546</v>
      </c>
      <c r="F14" s="252" t="s">
        <v>546</v>
      </c>
      <c r="G14" s="252" t="s">
        <v>546</v>
      </c>
      <c r="H14" s="252" t="s">
        <v>546</v>
      </c>
      <c r="I14" s="252" t="s">
        <v>546</v>
      </c>
      <c r="J14" s="254"/>
      <c r="K14" s="255"/>
      <c r="L14" s="331"/>
      <c r="M14" s="404"/>
      <c r="N14" s="404"/>
      <c r="O14" s="252" t="s">
        <v>546</v>
      </c>
      <c r="P14" s="252" t="s">
        <v>546</v>
      </c>
      <c r="Q14" s="252" t="s">
        <v>546</v>
      </c>
      <c r="R14" s="256"/>
    </row>
    <row r="15" spans="1:18" ht="15.75" customHeight="1">
      <c r="A15" s="251"/>
      <c r="B15" s="252"/>
      <c r="C15" s="253" t="s">
        <v>546</v>
      </c>
      <c r="D15" s="251"/>
      <c r="E15" s="252" t="s">
        <v>546</v>
      </c>
      <c r="F15" s="252" t="s">
        <v>546</v>
      </c>
      <c r="G15" s="252" t="s">
        <v>546</v>
      </c>
      <c r="H15" s="252" t="s">
        <v>546</v>
      </c>
      <c r="I15" s="252" t="s">
        <v>546</v>
      </c>
      <c r="J15" s="254"/>
      <c r="K15" s="255"/>
      <c r="L15" s="331"/>
      <c r="M15" s="404"/>
      <c r="N15" s="404"/>
      <c r="O15" s="252" t="s">
        <v>546</v>
      </c>
      <c r="P15" s="252" t="s">
        <v>546</v>
      </c>
      <c r="Q15" s="252" t="s">
        <v>546</v>
      </c>
      <c r="R15" s="256"/>
    </row>
    <row r="16" spans="1:18" ht="15.75" customHeight="1">
      <c r="A16" s="251"/>
      <c r="B16" s="252"/>
      <c r="C16" s="253" t="s">
        <v>546</v>
      </c>
      <c r="D16" s="251"/>
      <c r="E16" s="252" t="s">
        <v>546</v>
      </c>
      <c r="F16" s="252" t="s">
        <v>546</v>
      </c>
      <c r="G16" s="252" t="s">
        <v>546</v>
      </c>
      <c r="H16" s="252" t="s">
        <v>546</v>
      </c>
      <c r="I16" s="252" t="s">
        <v>546</v>
      </c>
      <c r="J16" s="254"/>
      <c r="K16" s="255"/>
      <c r="L16" s="331"/>
      <c r="M16" s="404"/>
      <c r="N16" s="404"/>
      <c r="O16" s="252" t="s">
        <v>546</v>
      </c>
      <c r="P16" s="252" t="s">
        <v>546</v>
      </c>
      <c r="Q16" s="252" t="s">
        <v>546</v>
      </c>
      <c r="R16" s="256"/>
    </row>
    <row r="17" spans="1:18" ht="15.75" customHeight="1">
      <c r="A17" s="251"/>
      <c r="B17" s="252"/>
      <c r="C17" s="253" t="s">
        <v>546</v>
      </c>
      <c r="D17" s="251"/>
      <c r="E17" s="252" t="s">
        <v>546</v>
      </c>
      <c r="F17" s="252" t="s">
        <v>546</v>
      </c>
      <c r="G17" s="252" t="s">
        <v>546</v>
      </c>
      <c r="H17" s="252" t="s">
        <v>546</v>
      </c>
      <c r="I17" s="252" t="s">
        <v>546</v>
      </c>
      <c r="J17" s="254"/>
      <c r="K17" s="255"/>
      <c r="L17" s="331"/>
      <c r="M17" s="404"/>
      <c r="N17" s="404"/>
      <c r="O17" s="252" t="s">
        <v>546</v>
      </c>
      <c r="P17" s="252" t="s">
        <v>546</v>
      </c>
      <c r="Q17" s="252" t="s">
        <v>546</v>
      </c>
      <c r="R17" s="256"/>
    </row>
    <row r="18" spans="1:18" ht="15.75" customHeight="1">
      <c r="A18" s="251"/>
      <c r="B18" s="252"/>
      <c r="C18" s="253" t="s">
        <v>546</v>
      </c>
      <c r="D18" s="251"/>
      <c r="E18" s="252" t="s">
        <v>546</v>
      </c>
      <c r="F18" s="252" t="s">
        <v>546</v>
      </c>
      <c r="G18" s="252" t="s">
        <v>546</v>
      </c>
      <c r="H18" s="252" t="s">
        <v>546</v>
      </c>
      <c r="I18" s="252" t="s">
        <v>546</v>
      </c>
      <c r="J18" s="254"/>
      <c r="K18" s="255"/>
      <c r="L18" s="331"/>
      <c r="M18" s="404"/>
      <c r="N18" s="404"/>
      <c r="O18" s="252" t="s">
        <v>546</v>
      </c>
      <c r="P18" s="252" t="s">
        <v>546</v>
      </c>
      <c r="Q18" s="252" t="s">
        <v>546</v>
      </c>
      <c r="R18" s="256"/>
    </row>
    <row r="19" spans="1:18" ht="15.75" customHeight="1">
      <c r="A19" s="251"/>
      <c r="B19" s="252"/>
      <c r="C19" s="253" t="s">
        <v>546</v>
      </c>
      <c r="D19" s="251"/>
      <c r="E19" s="252" t="s">
        <v>546</v>
      </c>
      <c r="F19" s="252" t="s">
        <v>546</v>
      </c>
      <c r="G19" s="252" t="s">
        <v>546</v>
      </c>
      <c r="H19" s="252" t="s">
        <v>546</v>
      </c>
      <c r="I19" s="252" t="s">
        <v>546</v>
      </c>
      <c r="J19" s="254"/>
      <c r="K19" s="255"/>
      <c r="L19" s="331"/>
      <c r="M19" s="404"/>
      <c r="N19" s="404"/>
      <c r="O19" s="252" t="s">
        <v>546</v>
      </c>
      <c r="P19" s="252" t="s">
        <v>546</v>
      </c>
      <c r="Q19" s="252" t="s">
        <v>546</v>
      </c>
      <c r="R19" s="256"/>
    </row>
    <row r="20" spans="1:18" ht="15.75" customHeight="1">
      <c r="A20" s="251"/>
      <c r="B20" s="252"/>
      <c r="C20" s="253" t="s">
        <v>546</v>
      </c>
      <c r="D20" s="251"/>
      <c r="E20" s="252" t="s">
        <v>546</v>
      </c>
      <c r="F20" s="252" t="s">
        <v>546</v>
      </c>
      <c r="G20" s="252" t="s">
        <v>546</v>
      </c>
      <c r="H20" s="252" t="s">
        <v>546</v>
      </c>
      <c r="I20" s="252" t="s">
        <v>546</v>
      </c>
      <c r="J20" s="254"/>
      <c r="K20" s="255"/>
      <c r="L20" s="331"/>
      <c r="M20" s="404"/>
      <c r="N20" s="404"/>
      <c r="O20" s="252" t="s">
        <v>546</v>
      </c>
      <c r="P20" s="252" t="s">
        <v>546</v>
      </c>
      <c r="Q20" s="252" t="s">
        <v>546</v>
      </c>
      <c r="R20" s="256"/>
    </row>
    <row r="21" spans="1:18" ht="15.75" customHeight="1">
      <c r="A21" s="251"/>
      <c r="B21" s="252"/>
      <c r="C21" s="253" t="s">
        <v>546</v>
      </c>
      <c r="D21" s="251"/>
      <c r="E21" s="252" t="s">
        <v>546</v>
      </c>
      <c r="F21" s="252" t="s">
        <v>546</v>
      </c>
      <c r="G21" s="252" t="s">
        <v>546</v>
      </c>
      <c r="H21" s="252" t="s">
        <v>546</v>
      </c>
      <c r="I21" s="252" t="s">
        <v>546</v>
      </c>
      <c r="J21" s="254"/>
      <c r="K21" s="255"/>
      <c r="L21" s="331"/>
      <c r="M21" s="404"/>
      <c r="N21" s="404"/>
      <c r="O21" s="252" t="s">
        <v>546</v>
      </c>
      <c r="P21" s="252" t="s">
        <v>546</v>
      </c>
      <c r="Q21" s="252" t="s">
        <v>546</v>
      </c>
      <c r="R21" s="256"/>
    </row>
    <row r="22" spans="1:18" ht="15.75" customHeight="1">
      <c r="A22" s="251"/>
      <c r="B22" s="252"/>
      <c r="C22" s="253" t="s">
        <v>546</v>
      </c>
      <c r="D22" s="251"/>
      <c r="E22" s="252" t="s">
        <v>546</v>
      </c>
      <c r="F22" s="252" t="s">
        <v>546</v>
      </c>
      <c r="G22" s="252" t="s">
        <v>546</v>
      </c>
      <c r="H22" s="252" t="s">
        <v>546</v>
      </c>
      <c r="I22" s="252" t="s">
        <v>546</v>
      </c>
      <c r="J22" s="254"/>
      <c r="K22" s="255"/>
      <c r="L22" s="331"/>
      <c r="M22" s="404"/>
      <c r="N22" s="404"/>
      <c r="O22" s="252" t="s">
        <v>546</v>
      </c>
      <c r="P22" s="252" t="s">
        <v>546</v>
      </c>
      <c r="Q22" s="252" t="s">
        <v>546</v>
      </c>
      <c r="R22" s="256"/>
    </row>
    <row r="23" spans="1:18" ht="15.75" customHeight="1">
      <c r="A23" s="251"/>
      <c r="B23" s="252"/>
      <c r="C23" s="253" t="s">
        <v>546</v>
      </c>
      <c r="D23" s="251"/>
      <c r="E23" s="252" t="s">
        <v>546</v>
      </c>
      <c r="F23" s="252" t="s">
        <v>546</v>
      </c>
      <c r="G23" s="252" t="s">
        <v>546</v>
      </c>
      <c r="H23" s="252" t="s">
        <v>546</v>
      </c>
      <c r="I23" s="252" t="s">
        <v>546</v>
      </c>
      <c r="J23" s="254"/>
      <c r="K23" s="255"/>
      <c r="L23" s="331"/>
      <c r="M23" s="404"/>
      <c r="N23" s="404"/>
      <c r="O23" s="252" t="s">
        <v>546</v>
      </c>
      <c r="P23" s="252" t="s">
        <v>546</v>
      </c>
      <c r="Q23" s="252" t="s">
        <v>546</v>
      </c>
      <c r="R23" s="256"/>
    </row>
    <row r="24" spans="1:18" ht="15.75" customHeight="1">
      <c r="A24" s="251"/>
      <c r="B24" s="252"/>
      <c r="C24" s="253" t="s">
        <v>546</v>
      </c>
      <c r="D24" s="251"/>
      <c r="E24" s="252" t="s">
        <v>546</v>
      </c>
      <c r="F24" s="252" t="s">
        <v>546</v>
      </c>
      <c r="G24" s="252" t="s">
        <v>546</v>
      </c>
      <c r="H24" s="252" t="s">
        <v>546</v>
      </c>
      <c r="I24" s="252" t="s">
        <v>546</v>
      </c>
      <c r="J24" s="254"/>
      <c r="K24" s="255"/>
      <c r="L24" s="331"/>
      <c r="M24" s="404"/>
      <c r="N24" s="404"/>
      <c r="O24" s="252" t="s">
        <v>546</v>
      </c>
      <c r="P24" s="252" t="s">
        <v>546</v>
      </c>
      <c r="Q24" s="252" t="s">
        <v>546</v>
      </c>
      <c r="R24" s="256"/>
    </row>
    <row r="25" spans="1:18" ht="15.75" customHeight="1">
      <c r="A25" s="251"/>
      <c r="B25" s="252"/>
      <c r="C25" s="253" t="s">
        <v>546</v>
      </c>
      <c r="D25" s="251"/>
      <c r="E25" s="252" t="s">
        <v>546</v>
      </c>
      <c r="F25" s="252" t="s">
        <v>546</v>
      </c>
      <c r="G25" s="252" t="s">
        <v>546</v>
      </c>
      <c r="H25" s="252" t="s">
        <v>546</v>
      </c>
      <c r="I25" s="252" t="s">
        <v>546</v>
      </c>
      <c r="J25" s="254"/>
      <c r="K25" s="255"/>
      <c r="L25" s="331"/>
      <c r="M25" s="404"/>
      <c r="N25" s="404"/>
      <c r="O25" s="252" t="s">
        <v>546</v>
      </c>
      <c r="P25" s="252" t="s">
        <v>546</v>
      </c>
      <c r="Q25" s="252" t="s">
        <v>546</v>
      </c>
      <c r="R25" s="256"/>
    </row>
    <row r="26" spans="1:18" ht="15.75" customHeight="1">
      <c r="A26" s="251"/>
      <c r="B26" s="252"/>
      <c r="C26" s="253" t="s">
        <v>546</v>
      </c>
      <c r="D26" s="251"/>
      <c r="E26" s="252" t="s">
        <v>546</v>
      </c>
      <c r="F26" s="252" t="s">
        <v>546</v>
      </c>
      <c r="G26" s="252" t="s">
        <v>546</v>
      </c>
      <c r="H26" s="252" t="s">
        <v>546</v>
      </c>
      <c r="I26" s="252" t="s">
        <v>546</v>
      </c>
      <c r="J26" s="254"/>
      <c r="K26" s="255"/>
      <c r="L26" s="331"/>
      <c r="M26" s="404"/>
      <c r="N26" s="404"/>
      <c r="O26" s="252" t="s">
        <v>546</v>
      </c>
      <c r="P26" s="252" t="s">
        <v>546</v>
      </c>
      <c r="Q26" s="252" t="s">
        <v>546</v>
      </c>
      <c r="R26" s="256"/>
    </row>
    <row r="27" spans="1:18" ht="15.75" customHeight="1">
      <c r="A27" s="251"/>
      <c r="B27" s="252"/>
      <c r="C27" s="253" t="s">
        <v>546</v>
      </c>
      <c r="D27" s="251"/>
      <c r="E27" s="252" t="s">
        <v>546</v>
      </c>
      <c r="F27" s="252" t="s">
        <v>546</v>
      </c>
      <c r="G27" s="252" t="s">
        <v>546</v>
      </c>
      <c r="H27" s="252" t="s">
        <v>546</v>
      </c>
      <c r="I27" s="252" t="s">
        <v>546</v>
      </c>
      <c r="J27" s="254"/>
      <c r="K27" s="255"/>
      <c r="L27" s="331"/>
      <c r="M27" s="404"/>
      <c r="N27" s="404"/>
      <c r="O27" s="252" t="s">
        <v>546</v>
      </c>
      <c r="P27" s="252" t="s">
        <v>546</v>
      </c>
      <c r="Q27" s="252" t="s">
        <v>546</v>
      </c>
      <c r="R27" s="256"/>
    </row>
    <row r="28" spans="1:18" ht="15.75" customHeight="1">
      <c r="A28" s="251"/>
      <c r="B28" s="252"/>
      <c r="C28" s="253" t="s">
        <v>546</v>
      </c>
      <c r="D28" s="251"/>
      <c r="E28" s="252" t="s">
        <v>546</v>
      </c>
      <c r="F28" s="252" t="s">
        <v>546</v>
      </c>
      <c r="G28" s="252" t="s">
        <v>546</v>
      </c>
      <c r="H28" s="252" t="s">
        <v>546</v>
      </c>
      <c r="I28" s="252" t="s">
        <v>546</v>
      </c>
      <c r="J28" s="254"/>
      <c r="K28" s="255"/>
      <c r="L28" s="331"/>
      <c r="M28" s="404"/>
      <c r="N28" s="404"/>
      <c r="O28" s="252" t="s">
        <v>546</v>
      </c>
      <c r="P28" s="252" t="s">
        <v>546</v>
      </c>
      <c r="Q28" s="252" t="s">
        <v>546</v>
      </c>
      <c r="R28" s="256"/>
    </row>
    <row r="29" spans="1:18" ht="15.75" customHeight="1">
      <c r="A29" s="251"/>
      <c r="B29" s="252"/>
      <c r="C29" s="253" t="s">
        <v>546</v>
      </c>
      <c r="D29" s="251"/>
      <c r="E29" s="252" t="s">
        <v>546</v>
      </c>
      <c r="F29" s="252" t="s">
        <v>546</v>
      </c>
      <c r="G29" s="252" t="s">
        <v>546</v>
      </c>
      <c r="H29" s="252" t="s">
        <v>546</v>
      </c>
      <c r="I29" s="252" t="s">
        <v>546</v>
      </c>
      <c r="J29" s="254"/>
      <c r="K29" s="255"/>
      <c r="L29" s="331"/>
      <c r="M29" s="404"/>
      <c r="N29" s="404"/>
      <c r="O29" s="252" t="s">
        <v>546</v>
      </c>
      <c r="P29" s="252" t="s">
        <v>546</v>
      </c>
      <c r="Q29" s="252" t="s">
        <v>546</v>
      </c>
      <c r="R29" s="256"/>
    </row>
    <row r="30" spans="1:18" ht="15.75" customHeight="1">
      <c r="A30" s="251"/>
      <c r="B30" s="252"/>
      <c r="C30" s="253" t="s">
        <v>546</v>
      </c>
      <c r="D30" s="251"/>
      <c r="E30" s="252" t="s">
        <v>546</v>
      </c>
      <c r="F30" s="252" t="s">
        <v>546</v>
      </c>
      <c r="G30" s="252" t="s">
        <v>546</v>
      </c>
      <c r="H30" s="252" t="s">
        <v>546</v>
      </c>
      <c r="I30" s="252" t="s">
        <v>546</v>
      </c>
      <c r="J30" s="254"/>
      <c r="K30" s="255"/>
      <c r="L30" s="331"/>
      <c r="M30" s="404"/>
      <c r="N30" s="404"/>
      <c r="O30" s="252" t="s">
        <v>546</v>
      </c>
      <c r="P30" s="252" t="s">
        <v>546</v>
      </c>
      <c r="Q30" s="252" t="s">
        <v>546</v>
      </c>
      <c r="R30" s="256"/>
    </row>
    <row r="31" spans="1:18" ht="15.75" customHeight="1">
      <c r="A31" s="251"/>
      <c r="B31" s="252"/>
      <c r="C31" s="253" t="s">
        <v>546</v>
      </c>
      <c r="D31" s="251"/>
      <c r="E31" s="252" t="s">
        <v>546</v>
      </c>
      <c r="F31" s="252" t="s">
        <v>546</v>
      </c>
      <c r="G31" s="252" t="s">
        <v>546</v>
      </c>
      <c r="H31" s="252" t="s">
        <v>546</v>
      </c>
      <c r="I31" s="252" t="s">
        <v>546</v>
      </c>
      <c r="J31" s="254"/>
      <c r="K31" s="255"/>
      <c r="L31" s="331"/>
      <c r="M31" s="404"/>
      <c r="N31" s="404"/>
      <c r="O31" s="252" t="s">
        <v>546</v>
      </c>
      <c r="P31" s="252" t="s">
        <v>546</v>
      </c>
      <c r="Q31" s="252" t="s">
        <v>546</v>
      </c>
      <c r="R31" s="256"/>
    </row>
    <row r="32" spans="1:18" ht="15.75" customHeight="1">
      <c r="A32" s="251"/>
      <c r="B32" s="252"/>
      <c r="C32" s="253" t="s">
        <v>546</v>
      </c>
      <c r="D32" s="251"/>
      <c r="E32" s="252" t="s">
        <v>546</v>
      </c>
      <c r="F32" s="252" t="s">
        <v>546</v>
      </c>
      <c r="G32" s="252" t="s">
        <v>546</v>
      </c>
      <c r="H32" s="252" t="s">
        <v>546</v>
      </c>
      <c r="I32" s="252" t="s">
        <v>546</v>
      </c>
      <c r="J32" s="254"/>
      <c r="K32" s="255"/>
      <c r="L32" s="331"/>
      <c r="M32" s="404"/>
      <c r="N32" s="404"/>
      <c r="O32" s="252" t="s">
        <v>546</v>
      </c>
      <c r="P32" s="252" t="s">
        <v>546</v>
      </c>
      <c r="Q32" s="252" t="s">
        <v>546</v>
      </c>
      <c r="R32" s="256"/>
    </row>
    <row r="33" spans="1:18" ht="15.75" customHeight="1">
      <c r="A33" s="251"/>
      <c r="B33" s="252"/>
      <c r="C33" s="253" t="s">
        <v>546</v>
      </c>
      <c r="D33" s="251"/>
      <c r="E33" s="252" t="s">
        <v>546</v>
      </c>
      <c r="F33" s="252" t="s">
        <v>546</v>
      </c>
      <c r="G33" s="252" t="s">
        <v>546</v>
      </c>
      <c r="H33" s="252" t="s">
        <v>546</v>
      </c>
      <c r="I33" s="252" t="s">
        <v>546</v>
      </c>
      <c r="J33" s="254"/>
      <c r="K33" s="255"/>
      <c r="L33" s="331"/>
      <c r="M33" s="404"/>
      <c r="N33" s="404"/>
      <c r="O33" s="252" t="s">
        <v>546</v>
      </c>
      <c r="P33" s="252" t="s">
        <v>546</v>
      </c>
      <c r="Q33" s="252" t="s">
        <v>546</v>
      </c>
      <c r="R33" s="256"/>
    </row>
    <row r="34" spans="1:18" ht="15.75" customHeight="1">
      <c r="A34" s="251"/>
      <c r="B34" s="252"/>
      <c r="C34" s="253" t="s">
        <v>546</v>
      </c>
      <c r="D34" s="251"/>
      <c r="E34" s="252" t="s">
        <v>546</v>
      </c>
      <c r="F34" s="252" t="s">
        <v>546</v>
      </c>
      <c r="G34" s="252" t="s">
        <v>546</v>
      </c>
      <c r="H34" s="252" t="s">
        <v>546</v>
      </c>
      <c r="I34" s="252" t="s">
        <v>546</v>
      </c>
      <c r="J34" s="254"/>
      <c r="K34" s="255"/>
      <c r="L34" s="331"/>
      <c r="M34" s="404"/>
      <c r="N34" s="404"/>
      <c r="O34" s="252" t="s">
        <v>546</v>
      </c>
      <c r="P34" s="252" t="s">
        <v>546</v>
      </c>
      <c r="Q34" s="252" t="s">
        <v>546</v>
      </c>
      <c r="R34" s="256"/>
    </row>
    <row r="35" spans="1:18" ht="15.75" customHeight="1">
      <c r="A35" s="251"/>
      <c r="B35" s="252"/>
      <c r="C35" s="253" t="s">
        <v>546</v>
      </c>
      <c r="D35" s="251"/>
      <c r="E35" s="252" t="s">
        <v>546</v>
      </c>
      <c r="F35" s="252" t="s">
        <v>546</v>
      </c>
      <c r="G35" s="252" t="s">
        <v>546</v>
      </c>
      <c r="H35" s="252" t="s">
        <v>546</v>
      </c>
      <c r="I35" s="252" t="s">
        <v>546</v>
      </c>
      <c r="J35" s="254"/>
      <c r="K35" s="255"/>
      <c r="L35" s="331"/>
      <c r="M35" s="404"/>
      <c r="N35" s="404"/>
      <c r="O35" s="252" t="s">
        <v>546</v>
      </c>
      <c r="P35" s="252" t="s">
        <v>546</v>
      </c>
      <c r="Q35" s="252" t="s">
        <v>546</v>
      </c>
      <c r="R35" s="256"/>
    </row>
    <row r="36" spans="1:18" ht="15.75" customHeight="1">
      <c r="A36" s="251"/>
      <c r="B36" s="252"/>
      <c r="C36" s="253" t="s">
        <v>546</v>
      </c>
      <c r="D36" s="251"/>
      <c r="E36" s="252" t="s">
        <v>546</v>
      </c>
      <c r="F36" s="252" t="s">
        <v>546</v>
      </c>
      <c r="G36" s="252" t="s">
        <v>546</v>
      </c>
      <c r="H36" s="252" t="s">
        <v>546</v>
      </c>
      <c r="I36" s="252" t="s">
        <v>546</v>
      </c>
      <c r="J36" s="254"/>
      <c r="K36" s="255"/>
      <c r="L36" s="331"/>
      <c r="M36" s="404"/>
      <c r="N36" s="404"/>
      <c r="O36" s="252" t="s">
        <v>546</v>
      </c>
      <c r="P36" s="252" t="s">
        <v>546</v>
      </c>
      <c r="Q36" s="252" t="s">
        <v>546</v>
      </c>
      <c r="R36" s="256"/>
    </row>
    <row r="37" spans="1:18" ht="15.75" customHeight="1">
      <c r="A37" s="251"/>
      <c r="B37" s="252"/>
      <c r="C37" s="253" t="s">
        <v>546</v>
      </c>
      <c r="D37" s="251"/>
      <c r="E37" s="252" t="s">
        <v>546</v>
      </c>
      <c r="F37" s="252" t="s">
        <v>546</v>
      </c>
      <c r="G37" s="252" t="s">
        <v>546</v>
      </c>
      <c r="H37" s="252" t="s">
        <v>546</v>
      </c>
      <c r="I37" s="252" t="s">
        <v>546</v>
      </c>
      <c r="J37" s="254"/>
      <c r="K37" s="255"/>
      <c r="L37" s="331"/>
      <c r="M37" s="404"/>
      <c r="N37" s="404"/>
      <c r="O37" s="252" t="s">
        <v>546</v>
      </c>
      <c r="P37" s="252" t="s">
        <v>546</v>
      </c>
      <c r="Q37" s="252" t="s">
        <v>546</v>
      </c>
      <c r="R37" s="256"/>
    </row>
    <row r="38" spans="1:18" ht="15.75" customHeight="1">
      <c r="A38" s="251"/>
      <c r="B38" s="252"/>
      <c r="C38" s="253" t="s">
        <v>546</v>
      </c>
      <c r="D38" s="251"/>
      <c r="E38" s="252" t="s">
        <v>546</v>
      </c>
      <c r="F38" s="252" t="s">
        <v>546</v>
      </c>
      <c r="G38" s="252" t="s">
        <v>546</v>
      </c>
      <c r="H38" s="252" t="s">
        <v>546</v>
      </c>
      <c r="I38" s="252" t="s">
        <v>546</v>
      </c>
      <c r="J38" s="254"/>
      <c r="K38" s="255"/>
      <c r="L38" s="331"/>
      <c r="M38" s="404"/>
      <c r="N38" s="404"/>
      <c r="O38" s="252" t="s">
        <v>546</v>
      </c>
      <c r="P38" s="252" t="s">
        <v>546</v>
      </c>
      <c r="Q38" s="252" t="s">
        <v>546</v>
      </c>
      <c r="R38" s="256"/>
    </row>
    <row r="39" spans="1:18" ht="15.75" customHeight="1">
      <c r="A39" s="251"/>
      <c r="B39" s="252"/>
      <c r="C39" s="253" t="s">
        <v>546</v>
      </c>
      <c r="D39" s="251"/>
      <c r="E39" s="252" t="s">
        <v>546</v>
      </c>
      <c r="F39" s="252" t="s">
        <v>546</v>
      </c>
      <c r="G39" s="252" t="s">
        <v>546</v>
      </c>
      <c r="H39" s="252" t="s">
        <v>546</v>
      </c>
      <c r="I39" s="252" t="s">
        <v>546</v>
      </c>
      <c r="J39" s="254"/>
      <c r="K39" s="255"/>
      <c r="L39" s="331"/>
      <c r="M39" s="404"/>
      <c r="N39" s="404"/>
      <c r="O39" s="252" t="s">
        <v>546</v>
      </c>
      <c r="P39" s="252" t="s">
        <v>546</v>
      </c>
      <c r="Q39" s="252" t="s">
        <v>546</v>
      </c>
      <c r="R39" s="256"/>
    </row>
    <row r="40" spans="1:18" ht="15.75" customHeight="1">
      <c r="A40" s="251"/>
      <c r="B40" s="252"/>
      <c r="C40" s="253" t="s">
        <v>546</v>
      </c>
      <c r="D40" s="251"/>
      <c r="E40" s="252" t="s">
        <v>546</v>
      </c>
      <c r="F40" s="252" t="s">
        <v>546</v>
      </c>
      <c r="G40" s="252" t="s">
        <v>546</v>
      </c>
      <c r="H40" s="252" t="s">
        <v>546</v>
      </c>
      <c r="I40" s="252" t="s">
        <v>546</v>
      </c>
      <c r="J40" s="254"/>
      <c r="K40" s="255"/>
      <c r="L40" s="331"/>
      <c r="M40" s="404"/>
      <c r="N40" s="404"/>
      <c r="O40" s="252" t="s">
        <v>546</v>
      </c>
      <c r="P40" s="252" t="s">
        <v>546</v>
      </c>
      <c r="Q40" s="252" t="s">
        <v>546</v>
      </c>
      <c r="R40" s="256"/>
    </row>
    <row r="41" spans="1:18" ht="15.75" customHeight="1">
      <c r="A41" s="251"/>
      <c r="B41" s="252"/>
      <c r="C41" s="253" t="s">
        <v>546</v>
      </c>
      <c r="D41" s="251"/>
      <c r="E41" s="252" t="s">
        <v>546</v>
      </c>
      <c r="F41" s="252" t="s">
        <v>546</v>
      </c>
      <c r="G41" s="252" t="s">
        <v>546</v>
      </c>
      <c r="H41" s="252" t="s">
        <v>546</v>
      </c>
      <c r="I41" s="252" t="s">
        <v>546</v>
      </c>
      <c r="J41" s="254"/>
      <c r="K41" s="255"/>
      <c r="L41" s="331"/>
      <c r="M41" s="404"/>
      <c r="N41" s="404"/>
      <c r="O41" s="252" t="s">
        <v>546</v>
      </c>
      <c r="P41" s="252" t="s">
        <v>546</v>
      </c>
      <c r="Q41" s="252" t="s">
        <v>546</v>
      </c>
      <c r="R41" s="256"/>
    </row>
    <row r="42" spans="1:18" ht="15.75" customHeight="1">
      <c r="A42" s="251"/>
      <c r="B42" s="252"/>
      <c r="C42" s="253" t="s">
        <v>546</v>
      </c>
      <c r="D42" s="251"/>
      <c r="E42" s="252" t="s">
        <v>546</v>
      </c>
      <c r="F42" s="252" t="s">
        <v>546</v>
      </c>
      <c r="G42" s="252" t="s">
        <v>546</v>
      </c>
      <c r="H42" s="252" t="s">
        <v>546</v>
      </c>
      <c r="I42" s="252" t="s">
        <v>546</v>
      </c>
      <c r="J42" s="254"/>
      <c r="K42" s="255"/>
      <c r="L42" s="331"/>
      <c r="M42" s="404"/>
      <c r="N42" s="404"/>
      <c r="O42" s="252" t="s">
        <v>546</v>
      </c>
      <c r="P42" s="252" t="s">
        <v>546</v>
      </c>
      <c r="Q42" s="252" t="s">
        <v>546</v>
      </c>
      <c r="R42" s="256"/>
    </row>
    <row r="43" spans="1:18" ht="15.75" customHeight="1">
      <c r="A43" s="251"/>
      <c r="B43" s="252"/>
      <c r="C43" s="253" t="s">
        <v>546</v>
      </c>
      <c r="D43" s="251"/>
      <c r="E43" s="252" t="s">
        <v>546</v>
      </c>
      <c r="F43" s="252" t="s">
        <v>546</v>
      </c>
      <c r="G43" s="252" t="s">
        <v>546</v>
      </c>
      <c r="H43" s="252" t="s">
        <v>546</v>
      </c>
      <c r="I43" s="252" t="s">
        <v>546</v>
      </c>
      <c r="J43" s="254"/>
      <c r="K43" s="255"/>
      <c r="L43" s="331"/>
      <c r="M43" s="404"/>
      <c r="N43" s="404"/>
      <c r="O43" s="252" t="s">
        <v>546</v>
      </c>
      <c r="P43" s="252" t="s">
        <v>546</v>
      </c>
      <c r="Q43" s="252" t="s">
        <v>546</v>
      </c>
      <c r="R43" s="256"/>
    </row>
    <row r="44" spans="1:18" ht="15.75" customHeight="1">
      <c r="A44" s="251"/>
      <c r="B44" s="252"/>
      <c r="C44" s="253" t="s">
        <v>546</v>
      </c>
      <c r="D44" s="251"/>
      <c r="E44" s="252" t="s">
        <v>546</v>
      </c>
      <c r="F44" s="252" t="s">
        <v>546</v>
      </c>
      <c r="G44" s="252" t="s">
        <v>546</v>
      </c>
      <c r="H44" s="252" t="s">
        <v>546</v>
      </c>
      <c r="I44" s="252" t="s">
        <v>546</v>
      </c>
      <c r="J44" s="254"/>
      <c r="K44" s="255"/>
      <c r="L44" s="331"/>
      <c r="M44" s="404"/>
      <c r="N44" s="404"/>
      <c r="O44" s="252" t="s">
        <v>546</v>
      </c>
      <c r="P44" s="252" t="s">
        <v>546</v>
      </c>
      <c r="Q44" s="252" t="s">
        <v>546</v>
      </c>
      <c r="R44" s="256"/>
    </row>
    <row r="45" spans="1:18" ht="15.75" customHeight="1">
      <c r="A45" s="251"/>
      <c r="B45" s="252"/>
      <c r="C45" s="253" t="s">
        <v>546</v>
      </c>
      <c r="D45" s="251"/>
      <c r="E45" s="252" t="s">
        <v>546</v>
      </c>
      <c r="F45" s="252" t="s">
        <v>546</v>
      </c>
      <c r="G45" s="252" t="s">
        <v>546</v>
      </c>
      <c r="H45" s="252" t="s">
        <v>546</v>
      </c>
      <c r="I45" s="252" t="s">
        <v>546</v>
      </c>
      <c r="J45" s="254"/>
      <c r="K45" s="255"/>
      <c r="L45" s="331"/>
      <c r="M45" s="404"/>
      <c r="N45" s="404"/>
      <c r="O45" s="252" t="s">
        <v>546</v>
      </c>
      <c r="P45" s="252" t="s">
        <v>546</v>
      </c>
      <c r="Q45" s="252" t="s">
        <v>546</v>
      </c>
      <c r="R45" s="256"/>
    </row>
    <row r="46" spans="1:18" ht="15.75" customHeight="1">
      <c r="A46" s="251"/>
      <c r="B46" s="252"/>
      <c r="C46" s="253" t="s">
        <v>546</v>
      </c>
      <c r="D46" s="251"/>
      <c r="E46" s="252" t="s">
        <v>546</v>
      </c>
      <c r="F46" s="252" t="s">
        <v>546</v>
      </c>
      <c r="G46" s="252" t="s">
        <v>546</v>
      </c>
      <c r="H46" s="252" t="s">
        <v>546</v>
      </c>
      <c r="I46" s="252" t="s">
        <v>546</v>
      </c>
      <c r="J46" s="254"/>
      <c r="K46" s="255"/>
      <c r="L46" s="331"/>
      <c r="M46" s="404"/>
      <c r="N46" s="404"/>
      <c r="O46" s="252" t="s">
        <v>546</v>
      </c>
      <c r="P46" s="252" t="s">
        <v>546</v>
      </c>
      <c r="Q46" s="252" t="s">
        <v>546</v>
      </c>
      <c r="R46" s="256"/>
    </row>
    <row r="47" spans="1:18" ht="15.75" customHeight="1">
      <c r="A47" s="251"/>
      <c r="B47" s="252"/>
      <c r="C47" s="253" t="s">
        <v>546</v>
      </c>
      <c r="D47" s="251"/>
      <c r="E47" s="252" t="s">
        <v>546</v>
      </c>
      <c r="F47" s="252" t="s">
        <v>546</v>
      </c>
      <c r="G47" s="252" t="s">
        <v>546</v>
      </c>
      <c r="H47" s="252" t="s">
        <v>546</v>
      </c>
      <c r="I47" s="252" t="s">
        <v>546</v>
      </c>
      <c r="J47" s="254"/>
      <c r="K47" s="255"/>
      <c r="L47" s="331"/>
      <c r="M47" s="404"/>
      <c r="N47" s="404"/>
      <c r="O47" s="252" t="s">
        <v>546</v>
      </c>
      <c r="P47" s="252" t="s">
        <v>546</v>
      </c>
      <c r="Q47" s="252" t="s">
        <v>546</v>
      </c>
      <c r="R47" s="256"/>
    </row>
    <row r="48" spans="1:18" ht="15.75" customHeight="1">
      <c r="A48" s="251"/>
      <c r="B48" s="252"/>
      <c r="C48" s="253" t="s">
        <v>546</v>
      </c>
      <c r="D48" s="251"/>
      <c r="E48" s="252" t="s">
        <v>546</v>
      </c>
      <c r="F48" s="252" t="s">
        <v>546</v>
      </c>
      <c r="G48" s="252" t="s">
        <v>546</v>
      </c>
      <c r="H48" s="252" t="s">
        <v>546</v>
      </c>
      <c r="I48" s="252" t="s">
        <v>546</v>
      </c>
      <c r="J48" s="254"/>
      <c r="K48" s="255"/>
      <c r="L48" s="331"/>
      <c r="M48" s="404"/>
      <c r="N48" s="404"/>
      <c r="O48" s="252" t="s">
        <v>546</v>
      </c>
      <c r="P48" s="252" t="s">
        <v>546</v>
      </c>
      <c r="Q48" s="252" t="s">
        <v>546</v>
      </c>
      <c r="R48" s="256"/>
    </row>
    <row r="49" spans="1:18" ht="15.75" customHeight="1">
      <c r="A49" s="251"/>
      <c r="B49" s="252"/>
      <c r="C49" s="253" t="s">
        <v>546</v>
      </c>
      <c r="D49" s="251"/>
      <c r="E49" s="252" t="s">
        <v>546</v>
      </c>
      <c r="F49" s="252" t="s">
        <v>546</v>
      </c>
      <c r="G49" s="252" t="s">
        <v>546</v>
      </c>
      <c r="H49" s="252" t="s">
        <v>546</v>
      </c>
      <c r="I49" s="252" t="s">
        <v>546</v>
      </c>
      <c r="J49" s="254"/>
      <c r="K49" s="255"/>
      <c r="L49" s="331"/>
      <c r="M49" s="404"/>
      <c r="N49" s="404"/>
      <c r="O49" s="252" t="s">
        <v>546</v>
      </c>
      <c r="P49" s="252" t="s">
        <v>546</v>
      </c>
      <c r="Q49" s="252" t="s">
        <v>546</v>
      </c>
      <c r="R49" s="256"/>
    </row>
    <row r="50" spans="1:18" ht="15.75" customHeight="1">
      <c r="A50" s="251"/>
      <c r="B50" s="252"/>
      <c r="C50" s="253" t="s">
        <v>546</v>
      </c>
      <c r="D50" s="251"/>
      <c r="E50" s="252" t="s">
        <v>546</v>
      </c>
      <c r="F50" s="252" t="s">
        <v>546</v>
      </c>
      <c r="G50" s="252" t="s">
        <v>546</v>
      </c>
      <c r="H50" s="252" t="s">
        <v>546</v>
      </c>
      <c r="I50" s="252" t="s">
        <v>546</v>
      </c>
      <c r="J50" s="254"/>
      <c r="K50" s="255"/>
      <c r="L50" s="331"/>
      <c r="M50" s="404"/>
      <c r="N50" s="404"/>
      <c r="O50" s="252" t="s">
        <v>546</v>
      </c>
      <c r="P50" s="252" t="s">
        <v>546</v>
      </c>
      <c r="Q50" s="252" t="s">
        <v>546</v>
      </c>
      <c r="R50" s="256"/>
    </row>
    <row r="51" spans="1:18" ht="15.75" customHeight="1">
      <c r="A51" s="251"/>
      <c r="B51" s="252"/>
      <c r="C51" s="253" t="s">
        <v>546</v>
      </c>
      <c r="D51" s="251"/>
      <c r="E51" s="252" t="s">
        <v>546</v>
      </c>
      <c r="F51" s="252" t="s">
        <v>546</v>
      </c>
      <c r="G51" s="252" t="s">
        <v>546</v>
      </c>
      <c r="H51" s="252" t="s">
        <v>546</v>
      </c>
      <c r="I51" s="252" t="s">
        <v>546</v>
      </c>
      <c r="J51" s="254"/>
      <c r="K51" s="255"/>
      <c r="L51" s="331"/>
      <c r="M51" s="404"/>
      <c r="N51" s="404"/>
      <c r="O51" s="252" t="s">
        <v>546</v>
      </c>
      <c r="P51" s="252" t="s">
        <v>546</v>
      </c>
      <c r="Q51" s="252" t="s">
        <v>546</v>
      </c>
      <c r="R51" s="256"/>
    </row>
    <row r="52" spans="1:18" ht="15.75" customHeight="1">
      <c r="A52" s="251"/>
      <c r="B52" s="252"/>
      <c r="C52" s="253" t="s">
        <v>546</v>
      </c>
      <c r="D52" s="251"/>
      <c r="E52" s="252" t="s">
        <v>546</v>
      </c>
      <c r="F52" s="252" t="s">
        <v>546</v>
      </c>
      <c r="G52" s="252" t="s">
        <v>546</v>
      </c>
      <c r="H52" s="252" t="s">
        <v>546</v>
      </c>
      <c r="I52" s="252" t="s">
        <v>546</v>
      </c>
      <c r="J52" s="254"/>
      <c r="K52" s="255"/>
      <c r="L52" s="331"/>
      <c r="M52" s="404"/>
      <c r="N52" s="404"/>
      <c r="O52" s="252" t="s">
        <v>546</v>
      </c>
      <c r="P52" s="252" t="s">
        <v>546</v>
      </c>
      <c r="Q52" s="252" t="s">
        <v>546</v>
      </c>
      <c r="R52" s="256"/>
    </row>
    <row r="53" spans="1:18" ht="15.75" customHeight="1">
      <c r="A53" s="251"/>
      <c r="B53" s="252"/>
      <c r="C53" s="253" t="s">
        <v>546</v>
      </c>
      <c r="D53" s="251"/>
      <c r="E53" s="252" t="s">
        <v>546</v>
      </c>
      <c r="F53" s="252" t="s">
        <v>546</v>
      </c>
      <c r="G53" s="252" t="s">
        <v>546</v>
      </c>
      <c r="H53" s="252" t="s">
        <v>546</v>
      </c>
      <c r="I53" s="252" t="s">
        <v>546</v>
      </c>
      <c r="J53" s="254"/>
      <c r="K53" s="255"/>
      <c r="L53" s="331"/>
      <c r="M53" s="404"/>
      <c r="N53" s="404"/>
      <c r="O53" s="252" t="s">
        <v>546</v>
      </c>
      <c r="P53" s="252" t="s">
        <v>546</v>
      </c>
      <c r="Q53" s="252" t="s">
        <v>546</v>
      </c>
      <c r="R53" s="256"/>
    </row>
    <row r="54" spans="1:18" ht="15.75" customHeight="1">
      <c r="A54" s="251"/>
      <c r="B54" s="252"/>
      <c r="C54" s="253" t="s">
        <v>546</v>
      </c>
      <c r="D54" s="251"/>
      <c r="E54" s="252" t="s">
        <v>546</v>
      </c>
      <c r="F54" s="252" t="s">
        <v>546</v>
      </c>
      <c r="G54" s="252" t="s">
        <v>546</v>
      </c>
      <c r="H54" s="252" t="s">
        <v>546</v>
      </c>
      <c r="I54" s="252" t="s">
        <v>546</v>
      </c>
      <c r="J54" s="254"/>
      <c r="K54" s="255"/>
      <c r="L54" s="331"/>
      <c r="M54" s="404"/>
      <c r="N54" s="404"/>
      <c r="O54" s="252" t="s">
        <v>546</v>
      </c>
      <c r="P54" s="252" t="s">
        <v>546</v>
      </c>
      <c r="Q54" s="252" t="s">
        <v>546</v>
      </c>
      <c r="R54" s="256"/>
    </row>
    <row r="55" spans="1:18" ht="15.75" customHeight="1">
      <c r="A55" s="251"/>
      <c r="B55" s="252"/>
      <c r="C55" s="253" t="s">
        <v>546</v>
      </c>
      <c r="D55" s="251"/>
      <c r="E55" s="252" t="s">
        <v>546</v>
      </c>
      <c r="F55" s="252" t="s">
        <v>546</v>
      </c>
      <c r="G55" s="252" t="s">
        <v>546</v>
      </c>
      <c r="H55" s="252" t="s">
        <v>546</v>
      </c>
      <c r="I55" s="252" t="s">
        <v>546</v>
      </c>
      <c r="J55" s="254"/>
      <c r="K55" s="255"/>
      <c r="L55" s="331"/>
      <c r="M55" s="404"/>
      <c r="N55" s="404"/>
      <c r="O55" s="252" t="s">
        <v>546</v>
      </c>
      <c r="P55" s="252" t="s">
        <v>546</v>
      </c>
      <c r="Q55" s="252" t="s">
        <v>546</v>
      </c>
      <c r="R55" s="256"/>
    </row>
    <row r="56" spans="1:18" ht="15.75" customHeight="1">
      <c r="A56" s="251"/>
      <c r="B56" s="252"/>
      <c r="C56" s="253" t="s">
        <v>546</v>
      </c>
      <c r="D56" s="251"/>
      <c r="E56" s="252" t="s">
        <v>546</v>
      </c>
      <c r="F56" s="252" t="s">
        <v>546</v>
      </c>
      <c r="G56" s="252" t="s">
        <v>546</v>
      </c>
      <c r="H56" s="252" t="s">
        <v>546</v>
      </c>
      <c r="I56" s="252" t="s">
        <v>546</v>
      </c>
      <c r="J56" s="254"/>
      <c r="K56" s="255"/>
      <c r="L56" s="331"/>
      <c r="M56" s="404"/>
      <c r="N56" s="404"/>
      <c r="O56" s="252" t="s">
        <v>546</v>
      </c>
      <c r="P56" s="252" t="s">
        <v>546</v>
      </c>
      <c r="Q56" s="252" t="s">
        <v>546</v>
      </c>
      <c r="R56" s="256"/>
    </row>
    <row r="57" spans="1:18" ht="15.75" customHeight="1">
      <c r="A57" s="251"/>
      <c r="B57" s="252"/>
      <c r="C57" s="253" t="s">
        <v>546</v>
      </c>
      <c r="D57" s="251"/>
      <c r="E57" s="252" t="s">
        <v>546</v>
      </c>
      <c r="F57" s="252" t="s">
        <v>546</v>
      </c>
      <c r="G57" s="252" t="s">
        <v>546</v>
      </c>
      <c r="H57" s="252" t="s">
        <v>546</v>
      </c>
      <c r="I57" s="252" t="s">
        <v>546</v>
      </c>
      <c r="J57" s="254"/>
      <c r="K57" s="255"/>
      <c r="L57" s="331"/>
      <c r="M57" s="404"/>
      <c r="N57" s="404"/>
      <c r="O57" s="252" t="s">
        <v>546</v>
      </c>
      <c r="P57" s="252" t="s">
        <v>546</v>
      </c>
      <c r="Q57" s="252" t="s">
        <v>546</v>
      </c>
      <c r="R57" s="256"/>
    </row>
    <row r="58" spans="1:18" ht="15.75" customHeight="1">
      <c r="A58" s="251"/>
      <c r="B58" s="252"/>
      <c r="C58" s="253" t="s">
        <v>546</v>
      </c>
      <c r="D58" s="251"/>
      <c r="E58" s="252" t="s">
        <v>546</v>
      </c>
      <c r="F58" s="252" t="s">
        <v>546</v>
      </c>
      <c r="G58" s="252" t="s">
        <v>546</v>
      </c>
      <c r="H58" s="252" t="s">
        <v>546</v>
      </c>
      <c r="I58" s="252" t="s">
        <v>546</v>
      </c>
      <c r="J58" s="254"/>
      <c r="K58" s="255"/>
      <c r="L58" s="331"/>
      <c r="M58" s="404"/>
      <c r="N58" s="404"/>
      <c r="O58" s="252" t="s">
        <v>546</v>
      </c>
      <c r="P58" s="252" t="s">
        <v>546</v>
      </c>
      <c r="Q58" s="252" t="s">
        <v>546</v>
      </c>
      <c r="R58" s="256"/>
    </row>
    <row r="59" spans="1:18" ht="15.75" customHeight="1">
      <c r="A59" s="251"/>
      <c r="B59" s="252"/>
      <c r="C59" s="253" t="s">
        <v>546</v>
      </c>
      <c r="D59" s="251"/>
      <c r="E59" s="252" t="s">
        <v>546</v>
      </c>
      <c r="F59" s="252" t="s">
        <v>546</v>
      </c>
      <c r="G59" s="252" t="s">
        <v>546</v>
      </c>
      <c r="H59" s="252" t="s">
        <v>546</v>
      </c>
      <c r="I59" s="252" t="s">
        <v>546</v>
      </c>
      <c r="J59" s="254"/>
      <c r="K59" s="255"/>
      <c r="L59" s="331"/>
      <c r="M59" s="404"/>
      <c r="N59" s="404"/>
      <c r="O59" s="252" t="s">
        <v>546</v>
      </c>
      <c r="P59" s="252" t="s">
        <v>546</v>
      </c>
      <c r="Q59" s="252" t="s">
        <v>546</v>
      </c>
      <c r="R59" s="256"/>
    </row>
    <row r="60" spans="1:18" ht="15.75" customHeight="1">
      <c r="A60" s="251"/>
      <c r="B60" s="252"/>
      <c r="C60" s="253" t="s">
        <v>546</v>
      </c>
      <c r="D60" s="251"/>
      <c r="E60" s="252" t="s">
        <v>546</v>
      </c>
      <c r="F60" s="252" t="s">
        <v>546</v>
      </c>
      <c r="G60" s="252" t="s">
        <v>546</v>
      </c>
      <c r="H60" s="252" t="s">
        <v>546</v>
      </c>
      <c r="I60" s="252" t="s">
        <v>546</v>
      </c>
      <c r="J60" s="254"/>
      <c r="K60" s="255"/>
      <c r="L60" s="331"/>
      <c r="M60" s="404"/>
      <c r="N60" s="404"/>
      <c r="O60" s="252" t="s">
        <v>546</v>
      </c>
      <c r="P60" s="252" t="s">
        <v>546</v>
      </c>
      <c r="Q60" s="252" t="s">
        <v>546</v>
      </c>
      <c r="R60" s="256"/>
    </row>
    <row r="61" spans="1:18" ht="15.75" customHeight="1" thickBot="1">
      <c r="A61" s="251"/>
      <c r="B61" s="252"/>
      <c r="C61" s="253" t="s">
        <v>546</v>
      </c>
      <c r="D61" s="251"/>
      <c r="E61" s="252" t="s">
        <v>546</v>
      </c>
      <c r="F61" s="252" t="s">
        <v>546</v>
      </c>
      <c r="G61" s="252" t="s">
        <v>546</v>
      </c>
      <c r="H61" s="252" t="s">
        <v>546</v>
      </c>
      <c r="I61" s="252" t="s">
        <v>546</v>
      </c>
      <c r="J61" s="254"/>
      <c r="K61" s="255"/>
      <c r="L61" s="331"/>
      <c r="M61" s="404"/>
      <c r="N61" s="404"/>
      <c r="O61" s="252" t="s">
        <v>546</v>
      </c>
      <c r="P61" s="252" t="s">
        <v>546</v>
      </c>
      <c r="Q61" s="252" t="s">
        <v>546</v>
      </c>
      <c r="R61" s="257"/>
    </row>
  </sheetData>
  <sheetProtection password="FAAF" sheet="1" insertRows="0"/>
  <mergeCells count="8">
    <mergeCell ref="A1:R1"/>
    <mergeCell ref="A2:R2"/>
    <mergeCell ref="A7:C7"/>
    <mergeCell ref="D7:J7"/>
    <mergeCell ref="K7:R7"/>
    <mergeCell ref="A4:B4"/>
    <mergeCell ref="A5:B5"/>
    <mergeCell ref="A6:B6"/>
  </mergeCells>
  <dataValidations count="4">
    <dataValidation type="list" allowBlank="1" showInputMessage="1" showErrorMessage="1" prompt="Select a LEED certification level from the drop-down list." sqref="O9:O61 Q9:Q61">
      <formula1>leedcERT</formula1>
    </dataValidation>
    <dataValidation type="list" allowBlank="1" showInputMessage="1" showErrorMessage="1" prompt="Select a LEED version from the drop-down list." sqref="P9:P61">
      <formula1>LEEDv</formula1>
    </dataValidation>
    <dataValidation type="list" allowBlank="1" showInputMessage="1" showErrorMessage="1" prompt="Select a status that best describes this GP from the drop-down list." sqref="E9:I61">
      <formula1>GPStatus</formula1>
    </dataValidation>
    <dataValidation type="list" allowBlank="1" showInputMessage="1" showErrorMessage="1" prompt="Select a compliance path from the drop-down list." sqref="C9:C61">
      <formula1>Path</formula1>
    </dataValidation>
  </dataValidations>
  <printOptions horizontalCentered="1"/>
  <pageMargins left="0.75" right="0.5" top="0.5" bottom="0.5" header="0.5" footer="0.35"/>
  <pageSetup fitToHeight="1" fitToWidth="1" horizontalDpi="600" verticalDpi="600" orientation="landscape" scale="49" r:id="rId3"/>
  <headerFooter alignWithMargins="0">
    <oddFooter>&amp;L&amp;"Times New Roman,Regular"&amp;8&amp;F: &amp;A&amp;R&amp;"Times New Roman,Regular"&amp;8Page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LM_FY2009_Annual_Energy_Report-final</dc:title>
  <dc:subject>Energy&amp;#160;Management Data Report</dc:subject>
  <dc:creator>Brian Alano</dc:creator>
  <cp:keywords/>
  <dc:description>Energy&amp;#160;Management Data Report</dc:description>
  <cp:lastModifiedBy>Brian Alano</cp:lastModifiedBy>
  <cp:lastPrinted>2009-12-18T14:49:15Z</cp:lastPrinted>
  <dcterms:created xsi:type="dcterms:W3CDTF">2000-06-02T15:21:20Z</dcterms:created>
  <dcterms:modified xsi:type="dcterms:W3CDTF">2009-12-21T13:52:37Z</dcterms:modified>
  <cp:category/>
  <cp:version/>
  <cp:contentType/>
  <cp:contentStatus/>
</cp:coreProperties>
</file>