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395" yWindow="0" windowWidth="13095" windowHeight="8145" tabRatio="670"/>
  </bookViews>
  <sheets>
    <sheet name="Instructions" sheetId="13" r:id="rId1"/>
    <sheet name="Government Energy InputOutput" sheetId="14" r:id="rId2"/>
    <sheet name="Community Energy InputOutput" sheetId="6" r:id="rId3"/>
    <sheet name="Government $$ InputOutput" sheetId="15" r:id="rId4"/>
    <sheet name="Community $$ InputOutput" sheetId="16" r:id="rId5"/>
  </sheets>
  <definedNames>
    <definedName name="_xlnm.Print_Area" localSheetId="0">Instructions!$A$1:$E$17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5" i="15" l="1"/>
  <c r="C24" i="15"/>
  <c r="C23" i="15"/>
  <c r="C4" i="15"/>
  <c r="C8" i="15"/>
  <c r="C7" i="15"/>
  <c r="C6" i="15"/>
  <c r="C34" i="16"/>
  <c r="G23" i="16"/>
  <c r="C27" i="16"/>
  <c r="G24" i="16"/>
  <c r="J35" i="16"/>
  <c r="J34" i="16"/>
  <c r="J30" i="16"/>
  <c r="I31" i="16"/>
  <c r="I32" i="16"/>
  <c r="I33" i="16"/>
  <c r="I30" i="16"/>
  <c r="I29" i="16"/>
  <c r="C18" i="16"/>
  <c r="C9" i="16"/>
  <c r="H30" i="16"/>
  <c r="G32" i="16"/>
  <c r="G31" i="16"/>
  <c r="G30" i="16"/>
  <c r="C26" i="15"/>
  <c r="G23" i="15"/>
  <c r="I34" i="15"/>
  <c r="J34" i="15"/>
  <c r="I29" i="15"/>
  <c r="I33" i="15"/>
  <c r="J33" i="15"/>
  <c r="G32" i="15"/>
  <c r="H30" i="15"/>
  <c r="H31" i="15"/>
  <c r="G30" i="15"/>
  <c r="K34" i="16"/>
  <c r="K35" i="16"/>
  <c r="K30" i="16"/>
  <c r="H32" i="16"/>
  <c r="K32" i="16"/>
  <c r="G22" i="16"/>
  <c r="H33" i="16"/>
  <c r="H31" i="16"/>
  <c r="G29" i="16"/>
  <c r="G33" i="16"/>
  <c r="J30" i="15"/>
  <c r="H32" i="15"/>
  <c r="J32" i="15"/>
  <c r="G28" i="15"/>
  <c r="H28" i="15"/>
  <c r="G31" i="15"/>
  <c r="J31" i="15"/>
  <c r="H29" i="15"/>
  <c r="K31" i="16"/>
  <c r="K33" i="16"/>
  <c r="H29" i="16"/>
  <c r="K29" i="16"/>
  <c r="G21" i="16"/>
  <c r="C18" i="15"/>
  <c r="G22" i="15"/>
  <c r="J28" i="15"/>
  <c r="E25" i="14"/>
  <c r="J35" i="14"/>
  <c r="E26" i="14"/>
  <c r="E24" i="14"/>
  <c r="D34" i="6"/>
  <c r="E34" i="6" s="1"/>
  <c r="D35" i="6"/>
  <c r="E35" i="6"/>
  <c r="K37" i="6" s="1"/>
  <c r="L37" i="6" s="1"/>
  <c r="D36" i="6"/>
  <c r="E36" i="6" s="1"/>
  <c r="K32" i="6" s="1"/>
  <c r="D37" i="6"/>
  <c r="D38" i="6"/>
  <c r="G25" i="16"/>
  <c r="H25" i="16"/>
  <c r="A28" i="14"/>
  <c r="K35" i="14"/>
  <c r="J34" i="14"/>
  <c r="A20" i="14"/>
  <c r="H22" i="16"/>
  <c r="H23" i="16"/>
  <c r="H24" i="16"/>
  <c r="H21" i="16"/>
  <c r="J30" i="14"/>
  <c r="K34" i="14"/>
  <c r="E27" i="14"/>
  <c r="H24" i="14"/>
  <c r="C11" i="13"/>
  <c r="D5" i="14" s="1"/>
  <c r="C12" i="13"/>
  <c r="D6" i="6" s="1"/>
  <c r="D6" i="14"/>
  <c r="D16" i="14" s="1"/>
  <c r="E16" i="14" s="1"/>
  <c r="I31" i="14" s="1"/>
  <c r="C13" i="13"/>
  <c r="D7" i="6" s="1"/>
  <c r="D7" i="14"/>
  <c r="D17" i="14" s="1"/>
  <c r="E17" i="14" s="1"/>
  <c r="I32" i="14" s="1"/>
  <c r="C14" i="13"/>
  <c r="D8" i="14" s="1"/>
  <c r="C10" i="13"/>
  <c r="D4" i="14" s="1"/>
  <c r="A38" i="6"/>
  <c r="A20" i="6"/>
  <c r="A30" i="6"/>
  <c r="E4" i="14" l="1"/>
  <c r="H29" i="14" s="1"/>
  <c r="D14" i="14"/>
  <c r="E14" i="14" s="1"/>
  <c r="I29" i="14" s="1"/>
  <c r="K29" i="14" s="1"/>
  <c r="D4" i="6"/>
  <c r="E4" i="6" s="1"/>
  <c r="D16" i="6"/>
  <c r="E16" i="6" s="1"/>
  <c r="I33" i="6" s="1"/>
  <c r="E6" i="6"/>
  <c r="H33" i="6" s="1"/>
  <c r="E37" i="6"/>
  <c r="H24" i="6" s="1"/>
  <c r="K36" i="6"/>
  <c r="L36" i="6" s="1"/>
  <c r="E7" i="6"/>
  <c r="H34" i="6" s="1"/>
  <c r="D27" i="6"/>
  <c r="E27" i="6" s="1"/>
  <c r="J34" i="6" s="1"/>
  <c r="D17" i="6"/>
  <c r="E17" i="6" s="1"/>
  <c r="I34" i="6" s="1"/>
  <c r="E7" i="14"/>
  <c r="H32" i="14" s="1"/>
  <c r="D14" i="6"/>
  <c r="E14" i="6" s="1"/>
  <c r="I31" i="6" s="1"/>
  <c r="E6" i="14"/>
  <c r="H31" i="14" s="1"/>
  <c r="K32" i="14"/>
  <c r="H31" i="6"/>
  <c r="E8" i="14"/>
  <c r="H33" i="14" s="1"/>
  <c r="D18" i="14"/>
  <c r="E18" i="14" s="1"/>
  <c r="I33" i="14" s="1"/>
  <c r="K31" i="14"/>
  <c r="D15" i="14"/>
  <c r="E15" i="14" s="1"/>
  <c r="E5" i="14"/>
  <c r="D24" i="6"/>
  <c r="E24" i="6" s="1"/>
  <c r="D26" i="6"/>
  <c r="E26" i="6" s="1"/>
  <c r="J33" i="6" s="1"/>
  <c r="L33" i="6" s="1"/>
  <c r="D8" i="6"/>
  <c r="D5" i="6"/>
  <c r="E9" i="14" l="1"/>
  <c r="H22" i="14" s="1"/>
  <c r="L34" i="6"/>
  <c r="D25" i="6"/>
  <c r="E25" i="6" s="1"/>
  <c r="J32" i="6" s="1"/>
  <c r="E5" i="6"/>
  <c r="D15" i="6"/>
  <c r="E15" i="6" s="1"/>
  <c r="K33" i="14"/>
  <c r="D18" i="6"/>
  <c r="E18" i="6" s="1"/>
  <c r="I35" i="6" s="1"/>
  <c r="E8" i="6"/>
  <c r="H35" i="6" s="1"/>
  <c r="D28" i="6"/>
  <c r="E28" i="6" s="1"/>
  <c r="J35" i="6" s="1"/>
  <c r="J31" i="6"/>
  <c r="L31" i="6" s="1"/>
  <c r="H30" i="14"/>
  <c r="C5" i="15"/>
  <c r="E19" i="14"/>
  <c r="H23" i="14" s="1"/>
  <c r="H25" i="14" s="1"/>
  <c r="I30" i="14"/>
  <c r="K30" i="14" l="1"/>
  <c r="I24" i="14"/>
  <c r="I23" i="14"/>
  <c r="I22" i="14"/>
  <c r="I25" i="14"/>
  <c r="I32" i="6"/>
  <c r="E19" i="6"/>
  <c r="H23" i="6" s="1"/>
  <c r="L35" i="6"/>
  <c r="H32" i="6"/>
  <c r="E9" i="6"/>
  <c r="H22" i="6" s="1"/>
  <c r="C9" i="15"/>
  <c r="G21" i="15" s="1"/>
  <c r="G24" i="15" s="1"/>
  <c r="G29" i="15"/>
  <c r="J29" i="15" s="1"/>
  <c r="E29" i="6"/>
  <c r="H25" i="6" s="1"/>
  <c r="L32" i="6" l="1"/>
  <c r="H21" i="15"/>
  <c r="H23" i="15"/>
  <c r="H22" i="15"/>
  <c r="H24" i="15"/>
  <c r="H26" i="6"/>
  <c r="I22" i="6" l="1"/>
  <c r="I25" i="6"/>
  <c r="I26" i="6"/>
  <c r="I24" i="6"/>
  <c r="I23" i="6"/>
</calcChain>
</file>

<file path=xl/sharedStrings.xml><?xml version="1.0" encoding="utf-8"?>
<sst xmlns="http://schemas.openxmlformats.org/spreadsheetml/2006/main" count="320" uniqueCount="76">
  <si>
    <t>Fuel Type</t>
  </si>
  <si>
    <t>Electricity</t>
  </si>
  <si>
    <t>Natural Gas</t>
  </si>
  <si>
    <t>Kerosene</t>
  </si>
  <si>
    <t>Light Fuel Oil</t>
  </si>
  <si>
    <t>Propane</t>
  </si>
  <si>
    <t>Total</t>
  </si>
  <si>
    <t>Total MMBtu</t>
  </si>
  <si>
    <t>Total MMBtu (Calculated)</t>
  </si>
  <si>
    <t>Diesel</t>
  </si>
  <si>
    <t>Gasoline</t>
  </si>
  <si>
    <t>Natural Gas (CNG)</t>
  </si>
  <si>
    <t>Conversion Factor to MMBTU*</t>
  </si>
  <si>
    <t>Sector</t>
  </si>
  <si>
    <t>Commercial</t>
  </si>
  <si>
    <t>Residential</t>
  </si>
  <si>
    <t>Transportation</t>
  </si>
  <si>
    <t>Industrial</t>
  </si>
  <si>
    <t>Units</t>
  </si>
  <si>
    <t>kWh</t>
  </si>
  <si>
    <t>Btu</t>
  </si>
  <si>
    <t>gallons</t>
  </si>
  <si>
    <t>Consumed</t>
  </si>
  <si>
    <t>Light Fuel Oil (Heating)</t>
  </si>
  <si>
    <t>Diesel (Transport)</t>
  </si>
  <si>
    <t>% Total</t>
  </si>
  <si>
    <t>*Average values used as defaults. See Sources on Instruction Sheet</t>
  </si>
  <si>
    <t>Instructions:</t>
  </si>
  <si>
    <t>2. Input "base year" and "Community Name" where prompted</t>
  </si>
  <si>
    <t>Fuel</t>
  </si>
  <si>
    <t>Source</t>
  </si>
  <si>
    <t>http://www.aps.org/policy/reports/popa-reports/energy/units.cfm</t>
  </si>
  <si>
    <t>http://www.eia.gov/totalenergy/data/monthly/pdf/sec13_1.pdf</t>
  </si>
  <si>
    <t>0.109 to 0.125</t>
  </si>
  <si>
    <t>http://www.afdc.energy.gov/afdc/pdfs/afv_info.pdf</t>
  </si>
  <si>
    <t>0.128 to 0.130</t>
  </si>
  <si>
    <t>0.033 to 0.044</t>
  </si>
  <si>
    <t>Heat Content Sources</t>
  </si>
  <si>
    <t xml:space="preserve">3. Summary tables and pie graph will automatically update </t>
  </si>
  <si>
    <t>Buildings</t>
  </si>
  <si>
    <t>Other Facilities</t>
  </si>
  <si>
    <t xml:space="preserve"> </t>
  </si>
  <si>
    <t>Range</t>
  </si>
  <si>
    <t>Natural Gas (incl. CNG)</t>
  </si>
  <si>
    <r>
      <rPr>
        <b/>
        <sz val="12"/>
        <color theme="1"/>
        <rFont val="Calibri"/>
        <family val="2"/>
        <scheme val="minor"/>
      </rPr>
      <t>COMMERCIAL</t>
    </r>
    <r>
      <rPr>
        <sz val="12"/>
        <color theme="1"/>
        <rFont val="Calibri"/>
        <family val="2"/>
        <scheme val="minor"/>
      </rPr>
      <t xml:space="preserve"> Worksheet C.1 Determining Total Commercial Energy Use (MMBtu) (Base Year Data)</t>
    </r>
  </si>
  <si>
    <r>
      <rPr>
        <b/>
        <sz val="12"/>
        <color theme="1"/>
        <rFont val="Calibri"/>
        <family val="2"/>
        <scheme val="minor"/>
      </rPr>
      <t xml:space="preserve">INDUSTRIAL </t>
    </r>
    <r>
      <rPr>
        <sz val="12"/>
        <color theme="1"/>
        <rFont val="Calibri"/>
        <family val="2"/>
        <scheme val="minor"/>
      </rPr>
      <t>Worksheet C.3 Determining Total Industrial Energy Use (MMBtu) (Base Year Data)</t>
    </r>
  </si>
  <si>
    <r>
      <rPr>
        <b/>
        <sz val="12"/>
        <color theme="1"/>
        <rFont val="Calibri"/>
        <family val="2"/>
        <scheme val="minor"/>
      </rPr>
      <t>TRANSPORTATION</t>
    </r>
    <r>
      <rPr>
        <sz val="12"/>
        <color theme="1"/>
        <rFont val="Calibri"/>
        <family val="2"/>
        <scheme val="minor"/>
      </rPr>
      <t xml:space="preserve"> Worksheet C.4 Determining Total Transportation Energy Use (MMBtu) (Base Year Data)</t>
    </r>
  </si>
  <si>
    <t>Worksheet C.5 Summary of Community Energy Use (MMBtu) by Sector (Base Year Data)</t>
  </si>
  <si>
    <r>
      <rPr>
        <b/>
        <sz val="12"/>
        <color theme="1"/>
        <rFont val="Calibri"/>
        <family val="2"/>
        <scheme val="minor"/>
      </rPr>
      <t>BUILDINGS</t>
    </r>
    <r>
      <rPr>
        <sz val="12"/>
        <color theme="1"/>
        <rFont val="Calibri"/>
        <family val="2"/>
        <scheme val="minor"/>
      </rPr>
      <t xml:space="preserve"> Worksheet G.1 Determining Total Buildings Energy Use (MMBtu) (Base Year Data)</t>
    </r>
  </si>
  <si>
    <r>
      <rPr>
        <b/>
        <sz val="12"/>
        <color theme="1"/>
        <rFont val="Calibri"/>
        <family val="2"/>
        <scheme val="minor"/>
      </rPr>
      <t xml:space="preserve">OTHER FACILITIES </t>
    </r>
    <r>
      <rPr>
        <sz val="12"/>
        <color theme="1"/>
        <rFont val="Calibri"/>
        <family val="2"/>
        <scheme val="minor"/>
      </rPr>
      <t xml:space="preserve"> Worksheet G.2 Determining Total Other Facilities Energy Use (MMBtu)  (Base Year Data)</t>
    </r>
  </si>
  <si>
    <r>
      <rPr>
        <b/>
        <sz val="12"/>
        <color theme="1"/>
        <rFont val="Calibri"/>
        <family val="2"/>
        <scheme val="minor"/>
      </rPr>
      <t>TRANSPORTATION</t>
    </r>
    <r>
      <rPr>
        <sz val="12"/>
        <color theme="1"/>
        <rFont val="Calibri"/>
        <family val="2"/>
        <scheme val="minor"/>
      </rPr>
      <t xml:space="preserve"> Worksheet G.3 Determining Total Transportation Energy Use (MMBtu)  (Base Year Data)</t>
    </r>
  </si>
  <si>
    <t>Worksheet G.3 Summary of Government Energy Use (MMBtu) by Sector  (Base Year Data)</t>
  </si>
  <si>
    <t>Total Cost</t>
  </si>
  <si>
    <t>1. Input data on enery usage in given units, or cost data, into yellow cells in column B for each sector on InputOutput tabs</t>
  </si>
  <si>
    <t xml:space="preserve">Total Cost </t>
  </si>
  <si>
    <r>
      <rPr>
        <b/>
        <sz val="12"/>
        <color theme="1"/>
        <rFont val="Calibri"/>
        <family val="2"/>
        <scheme val="minor"/>
      </rPr>
      <t>BUILDINGS</t>
    </r>
    <r>
      <rPr>
        <sz val="12"/>
        <color theme="1"/>
        <rFont val="Calibri"/>
        <family val="2"/>
        <scheme val="minor"/>
      </rPr>
      <t xml:space="preserve"> Worksheet G.1 Total Buildings Energy Cost ($$) (Base Year Data)</t>
    </r>
  </si>
  <si>
    <r>
      <rPr>
        <b/>
        <sz val="12"/>
        <color theme="1"/>
        <rFont val="Calibri"/>
        <family val="2"/>
        <scheme val="minor"/>
      </rPr>
      <t xml:space="preserve">OTHER FACILITIES </t>
    </r>
    <r>
      <rPr>
        <sz val="12"/>
        <color theme="1"/>
        <rFont val="Calibri"/>
        <family val="2"/>
        <scheme val="minor"/>
      </rPr>
      <t xml:space="preserve"> Worksheet G.2 Total Other Facilities Energy Cost  (Base Year Data)</t>
    </r>
  </si>
  <si>
    <t>Worksheet G.3 Summary of Government Energy Cost by Sector  (Base Year Data)</t>
  </si>
  <si>
    <r>
      <rPr>
        <b/>
        <sz val="12"/>
        <color theme="1"/>
        <rFont val="Calibri"/>
        <family val="2"/>
        <scheme val="minor"/>
      </rPr>
      <t>TRANSPORTATION</t>
    </r>
    <r>
      <rPr>
        <sz val="12"/>
        <color theme="1"/>
        <rFont val="Calibri"/>
        <family val="2"/>
        <scheme val="minor"/>
      </rPr>
      <t xml:space="preserve"> Worksheet G.3 Total Transportation Energy Cost (Base Year Data)</t>
    </r>
  </si>
  <si>
    <r>
      <rPr>
        <b/>
        <sz val="12"/>
        <color theme="1"/>
        <rFont val="Calibri"/>
        <family val="2"/>
        <scheme val="minor"/>
      </rPr>
      <t>COMMERCIAL</t>
    </r>
    <r>
      <rPr>
        <sz val="12"/>
        <color theme="1"/>
        <rFont val="Calibri"/>
        <family val="2"/>
        <scheme val="minor"/>
      </rPr>
      <t xml:space="preserve"> Worksheet C.1 Total Commercial Energy Cost (Base Year Data)</t>
    </r>
  </si>
  <si>
    <t>Worksheet G.4 Summary of Government Energy Cost by Sector and Fuel Type  (Base Year Data)</t>
  </si>
  <si>
    <r>
      <rPr>
        <b/>
        <sz val="12"/>
        <color theme="1"/>
        <rFont val="Calibri"/>
        <family val="2"/>
        <scheme val="minor"/>
      </rPr>
      <t>RESIDENTIAL</t>
    </r>
    <r>
      <rPr>
        <sz val="12"/>
        <color theme="1"/>
        <rFont val="Calibri"/>
        <family val="2"/>
        <scheme val="minor"/>
      </rPr>
      <t xml:space="preserve"> Worksheet C.2 Total Residential Energy Cost (Base Year Data)</t>
    </r>
  </si>
  <si>
    <r>
      <rPr>
        <b/>
        <sz val="12"/>
        <color theme="1"/>
        <rFont val="Calibri"/>
        <family val="2"/>
        <scheme val="minor"/>
      </rPr>
      <t xml:space="preserve">INDUSTRIAL </t>
    </r>
    <r>
      <rPr>
        <sz val="12"/>
        <color theme="1"/>
        <rFont val="Calibri"/>
        <family val="2"/>
        <scheme val="minor"/>
      </rPr>
      <t>Worksheet C.3 Total Industrial Energy Cost (Base Year Data)</t>
    </r>
  </si>
  <si>
    <r>
      <rPr>
        <b/>
        <sz val="12"/>
        <color theme="1"/>
        <rFont val="Calibri"/>
        <family val="2"/>
        <scheme val="minor"/>
      </rPr>
      <t>TRANSPORTATION</t>
    </r>
    <r>
      <rPr>
        <sz val="12"/>
        <color theme="1"/>
        <rFont val="Calibri"/>
        <family val="2"/>
        <scheme val="minor"/>
      </rPr>
      <t xml:space="preserve"> Worksheet C.4 Total Transportation Energy Cost (Base Year Data)</t>
    </r>
  </si>
  <si>
    <t>Worksheet C.5 Summary of Community Energy Cost by Sector (Base Year Data)</t>
  </si>
  <si>
    <t>Worksheet C.6 Summary of Community Energy Cost by Sector and Fuel Type (Base Year Data)</t>
  </si>
  <si>
    <t>Worksheet G.4 Summary of Government Energy Use (MMBtu) by Sector and Fuel Type  (Base Year Data)</t>
  </si>
  <si>
    <r>
      <rPr>
        <b/>
        <sz val="12"/>
        <color theme="1"/>
        <rFont val="Calibri"/>
        <family val="2"/>
        <scheme val="minor"/>
      </rPr>
      <t>RESIDENTIAL</t>
    </r>
    <r>
      <rPr>
        <sz val="12"/>
        <color theme="1"/>
        <rFont val="Calibri"/>
        <family val="2"/>
        <scheme val="minor"/>
      </rPr>
      <t xml:space="preserve"> Worksheet C.2 Determining Total Residential Energy Use (MMBtu) (Base Year Data)</t>
    </r>
  </si>
  <si>
    <t>Worksheet C.6 Summary of Community Energy Use  (MMBtu) by Sector and Fuel Type (Base Year Data)</t>
  </si>
  <si>
    <t>Tool 4.1: Energy Data Calculation and Summary Tool - Instructions</t>
  </si>
  <si>
    <t>Tool 4.1: Energy Data Calculation and Summary Tool - Government Energy Input/Output</t>
  </si>
  <si>
    <t>Tool 4.1: Energy Data Calculation and Summary Tool - Community Energy Input/Output</t>
  </si>
  <si>
    <t>Tool 4.1: Energy Data Calculation and Summary Tool - Government Cost Input/Output</t>
  </si>
  <si>
    <t>Tool 4.1: Energy Data Calculation and Summary Tool - Community Energy Cost Input/Output</t>
  </si>
  <si>
    <t>Input units</t>
  </si>
  <si>
    <t>Conversion Factor to MMBtu from input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</si>
</sst>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
    <numFmt numFmtId="166" formatCode="&quot;$&quot;#,##0.00"/>
  </numFmts>
  <fonts count="1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12"/>
      <color theme="1"/>
      <name val="Calibri"/>
      <family val="2"/>
      <scheme val="minor"/>
    </font>
    <font>
      <b/>
      <sz val="12"/>
      <color rgb="FFFF0000"/>
      <name val="Calibri"/>
      <family val="2"/>
      <scheme val="minor"/>
    </font>
    <font>
      <sz val="14"/>
      <color rgb="FF0070C0"/>
      <name val="Franklin Gothic Medium"/>
      <family val="2"/>
    </font>
    <font>
      <b/>
      <sz val="14"/>
      <color rgb="FF00669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6699"/>
        <bgColor indexed="64"/>
      </patternFill>
    </fill>
  </fills>
  <borders count="1">
    <border>
      <left/>
      <right/>
      <top/>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4">
    <xf numFmtId="0" fontId="0" fillId="0" borderId="0" xfId="0"/>
    <xf numFmtId="0" fontId="4" fillId="0" borderId="0" xfId="0" applyFont="1" applyAlignment="1">
      <alignment horizontal="center"/>
    </xf>
    <xf numFmtId="0" fontId="4" fillId="0" borderId="0" xfId="0" applyFont="1" applyAlignment="1">
      <alignment horizontal="center" vertical="center" wrapText="1"/>
    </xf>
    <xf numFmtId="0" fontId="0" fillId="0" borderId="0" xfId="0" applyBorder="1"/>
    <xf numFmtId="0" fontId="0" fillId="0" borderId="0" xfId="0" applyNumberFormat="1" applyBorder="1"/>
    <xf numFmtId="164" fontId="0" fillId="0" borderId="0" xfId="0" applyNumberFormat="1"/>
    <xf numFmtId="165" fontId="0" fillId="0" borderId="0" xfId="0" applyNumberFormat="1"/>
    <xf numFmtId="0" fontId="0" fillId="0" borderId="0" xfId="0" applyAlignment="1">
      <alignment horizontal="center"/>
    </xf>
    <xf numFmtId="2" fontId="0" fillId="0" borderId="0" xfId="0" applyNumberFormat="1"/>
    <xf numFmtId="2" fontId="4" fillId="0" borderId="0" xfId="0" applyNumberFormat="1" applyFont="1"/>
    <xf numFmtId="0" fontId="0" fillId="2" borderId="0" xfId="0" applyFill="1"/>
    <xf numFmtId="0" fontId="3" fillId="0" borderId="0" xfId="0" applyFont="1"/>
    <xf numFmtId="0" fontId="3" fillId="0" borderId="0" xfId="0" applyFont="1" applyAlignment="1">
      <alignment horizontal="right"/>
    </xf>
    <xf numFmtId="0" fontId="4" fillId="2" borderId="0" xfId="0" applyFont="1" applyFill="1"/>
    <xf numFmtId="0" fontId="0" fillId="0" borderId="0" xfId="0" applyAlignment="1">
      <alignment wrapText="1"/>
    </xf>
    <xf numFmtId="2" fontId="0" fillId="0" borderId="0" xfId="0" applyNumberFormat="1" applyAlignment="1">
      <alignment horizontal="center"/>
    </xf>
    <xf numFmtId="0" fontId="8" fillId="0" borderId="0" xfId="0" applyFont="1" applyAlignment="1">
      <alignment horizontal="center"/>
    </xf>
    <xf numFmtId="0" fontId="2" fillId="0" borderId="0" xfId="0" applyFont="1" applyAlignment="1">
      <alignment horizontal="right"/>
    </xf>
    <xf numFmtId="0" fontId="0" fillId="0" borderId="0" xfId="0" applyNumberFormat="1"/>
    <xf numFmtId="0" fontId="10" fillId="0" borderId="0" xfId="0" applyFont="1"/>
    <xf numFmtId="166" fontId="0" fillId="2" borderId="0" xfId="0" applyNumberFormat="1" applyFill="1"/>
    <xf numFmtId="166" fontId="0" fillId="0" borderId="0" xfId="0" applyNumberFormat="1" applyFill="1"/>
    <xf numFmtId="166" fontId="4" fillId="0" borderId="0" xfId="0" applyNumberFormat="1" applyFont="1" applyFill="1"/>
    <xf numFmtId="166" fontId="0" fillId="0" borderId="0" xfId="0" applyNumberFormat="1"/>
    <xf numFmtId="0" fontId="4" fillId="0" borderId="0" xfId="0" applyFont="1"/>
    <xf numFmtId="166" fontId="4" fillId="0" borderId="0" xfId="0" applyNumberFormat="1" applyFont="1"/>
    <xf numFmtId="0" fontId="11" fillId="0" borderId="0" xfId="0" applyFont="1" applyAlignment="1">
      <alignment vertical="center"/>
    </xf>
    <xf numFmtId="0" fontId="1" fillId="0" borderId="0" xfId="0" applyFont="1" applyAlignment="1">
      <alignment horizontal="right"/>
    </xf>
    <xf numFmtId="0" fontId="0" fillId="2" borderId="0" xfId="0" applyFill="1" applyAlignment="1">
      <alignment horizontal="center"/>
    </xf>
    <xf numFmtId="0" fontId="0" fillId="0" borderId="0" xfId="0" applyFont="1"/>
    <xf numFmtId="0" fontId="12" fillId="0" borderId="0" xfId="0" applyFont="1" applyFill="1" applyAlignment="1">
      <alignment vertical="center"/>
    </xf>
    <xf numFmtId="0" fontId="3" fillId="3" borderId="0" xfId="0" applyFont="1" applyFill="1" applyAlignment="1">
      <alignment horizontal="center" wrapText="1"/>
    </xf>
    <xf numFmtId="0" fontId="1" fillId="3" borderId="0" xfId="0" applyFont="1" applyFill="1" applyAlignment="1">
      <alignment horizontal="center" wrapText="1"/>
    </xf>
    <xf numFmtId="0" fontId="8" fillId="3" borderId="0" xfId="0" applyFont="1" applyFill="1" applyAlignment="1">
      <alignment horizontal="center" wrapText="1"/>
    </xf>
    <xf numFmtId="0" fontId="12" fillId="0" borderId="0" xfId="0" applyFont="1" applyAlignment="1">
      <alignment vertical="center"/>
    </xf>
    <xf numFmtId="0" fontId="4" fillId="3" borderId="0" xfId="0" applyFon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xf>
    <xf numFmtId="0" fontId="9" fillId="3" borderId="0" xfId="0" applyFont="1" applyFill="1" applyAlignment="1">
      <alignment horizontal="center" vertical="center" wrapText="1"/>
    </xf>
    <xf numFmtId="166" fontId="0" fillId="3" borderId="0" xfId="0" applyNumberFormat="1" applyFill="1" applyAlignment="1">
      <alignment horizontal="center"/>
    </xf>
    <xf numFmtId="0" fontId="0" fillId="0" borderId="0" xfId="0" applyAlignment="1">
      <alignment wrapText="1"/>
    </xf>
    <xf numFmtId="0" fontId="0" fillId="0" borderId="0" xfId="0" applyAlignment="1"/>
    <xf numFmtId="0" fontId="0" fillId="0" borderId="0" xfId="0" applyAlignment="1">
      <alignment horizontal="left" wrapText="1"/>
    </xf>
    <xf numFmtId="0" fontId="0" fillId="0" borderId="0" xfId="0" applyAlignment="1">
      <alignment horizontal="left"/>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73">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font>
        <b/>
      </font>
      <numFmt numFmtId="166" formatCode="&quot;$&quot;#,##0.00"/>
    </dxf>
    <dxf>
      <numFmt numFmtId="166" formatCode="&quot;$&quot;#,##0.00"/>
    </dxf>
    <dxf>
      <numFmt numFmtId="166" formatCode="&quot;$&quot;#,##0.00"/>
    </dxf>
    <dxf>
      <numFmt numFmtId="166" formatCode="&quot;$&quot;#,##0.00"/>
    </dxf>
    <dxf>
      <numFmt numFmtId="166" formatCode="&quot;$&quot;#,##0.00"/>
    </dxf>
    <dxf>
      <fill>
        <patternFill patternType="solid">
          <fgColor indexed="64"/>
          <bgColor rgb="FF006699"/>
        </patternFill>
      </fill>
      <alignment horizontal="center" vertical="bottom" textRotation="0" wrapText="0" indent="0" justifyLastLine="0" shrinkToFit="0"/>
    </dxf>
    <dxf>
      <numFmt numFmtId="166" formatCode="&quot;$&quot;#,##0.00"/>
    </dxf>
    <dxf>
      <numFmt numFmtId="166" formatCode="&quot;$&quot;#,##0.00"/>
    </dxf>
    <dxf>
      <fill>
        <patternFill patternType="solid">
          <fgColor indexed="64"/>
          <bgColor rgb="FF006699"/>
        </patternFill>
      </fill>
      <alignment horizontal="center" vertical="center" textRotation="0" wrapText="0" indent="0" justifyLastLine="0" shrinkToFit="0"/>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font>
        <b/>
      </font>
      <numFmt numFmtId="166" formatCode="&quot;$&quot;#,##0.00"/>
    </dxf>
    <dxf>
      <numFmt numFmtId="166" formatCode="&quot;$&quot;#,##0.00"/>
    </dxf>
    <dxf>
      <numFmt numFmtId="166" formatCode="&quot;$&quot;#,##0.00"/>
    </dxf>
    <dxf>
      <numFmt numFmtId="166" formatCode="&quot;$&quot;#,##0.00"/>
    </dxf>
    <dxf>
      <fill>
        <patternFill patternType="solid">
          <fgColor indexed="64"/>
          <bgColor rgb="FF006699"/>
        </patternFill>
      </fill>
      <alignment horizontal="center" vertical="bottom" textRotation="0" wrapText="0" indent="0" justifyLastLine="0" shrinkToFit="0"/>
    </dxf>
    <dxf>
      <numFmt numFmtId="2" formatCode="0.00"/>
    </dxf>
    <dxf>
      <numFmt numFmtId="2" formatCode="0.00"/>
    </dxf>
    <dxf>
      <fill>
        <patternFill patternType="solid">
          <fgColor indexed="64"/>
          <bgColor rgb="FF006699"/>
        </patternFill>
      </fill>
      <alignment horizontal="center" vertical="center" textRotation="0" wrapText="0" indent="0" justifyLastLine="0" shrinkToFit="0"/>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fill>
        <patternFill patternType="solid">
          <fgColor indexed="64"/>
          <bgColor rgb="FF006699"/>
        </patternFill>
      </fill>
      <alignment horizontal="center" vertical="bottom" textRotation="0" wrapText="0" indent="0" justifyLastLine="0" shrinkToFit="0"/>
    </dxf>
    <dxf>
      <numFmt numFmtId="2" formatCode="0.00"/>
    </dxf>
    <dxf>
      <numFmt numFmtId="2" formatCode="0.00"/>
    </dxf>
    <dxf>
      <fill>
        <patternFill patternType="solid">
          <fgColor indexed="64"/>
          <bgColor rgb="FF006699"/>
        </patternFill>
      </fill>
      <alignment horizontal="center" vertical="center" textRotation="0" wrapText="0" indent="0" justifyLastLine="0" shrinkToFit="0"/>
    </dxf>
    <dxf>
      <numFmt numFmtId="0" formatCode="General"/>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2" formatCode="0.00"/>
      <alignment horizontal="center" vertical="bottom" textRotation="0" wrapText="0" indent="0" justifyLastLine="0" shrinkToFit="0" readingOrder="0"/>
    </dxf>
    <dxf>
      <numFmt numFmtId="2" formatCode="0.00"/>
    </dxf>
    <dxf>
      <numFmt numFmtId="2" formatCode="0.00"/>
    </dxf>
    <dxf>
      <numFmt numFmtId="2" formatCode="0.00"/>
    </dxf>
    <dxf>
      <numFmt numFmtId="2" formatCode="0.00"/>
    </dxf>
    <dxf>
      <fill>
        <patternFill patternType="solid">
          <fgColor indexed="64"/>
          <bgColor rgb="FF006699"/>
        </patternFill>
      </fill>
      <alignment horizontal="center" vertical="bottom" textRotation="0" wrapText="0" indent="0" justifyLastLine="0" shrinkToFit="0"/>
    </dxf>
    <dxf>
      <numFmt numFmtId="2" formatCode="0.00"/>
    </dxf>
    <dxf>
      <numFmt numFmtId="2" formatCode="0.00"/>
    </dxf>
    <dxf>
      <fill>
        <patternFill patternType="solid">
          <fgColor indexed="64"/>
          <bgColor rgb="FF006699"/>
        </patternFill>
      </fill>
      <alignment horizontal="center" vertical="center" textRotation="0" wrapText="0" indent="0" justifyLastLine="0" shrinkToFit="0"/>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numFmt numFmtId="0" formatCode="General"/>
    </dxf>
    <dxf>
      <numFmt numFmtId="0" formatCode="General"/>
    </dxf>
    <dxf>
      <font>
        <b/>
        <i val="0"/>
        <strike val="0"/>
        <condense val="0"/>
        <extend val="0"/>
        <outline val="0"/>
        <shadow val="0"/>
        <u val="none"/>
        <vertAlign val="baseline"/>
        <sz val="12"/>
        <color theme="1"/>
        <name val="Calibri"/>
        <scheme val="minor"/>
      </font>
      <fill>
        <patternFill patternType="solid">
          <fgColor indexed="64"/>
          <bgColor rgb="FF006699"/>
        </patternFill>
      </fill>
      <alignment horizontal="center" vertical="center" textRotation="0" wrapText="1" indent="0" justifyLastLine="0" shrinkToFit="0" readingOrder="0"/>
    </dxf>
    <dxf>
      <font>
        <strike val="0"/>
        <outline val="0"/>
        <shadow val="0"/>
        <u val="none"/>
        <vertAlign val="baseline"/>
        <sz val="11"/>
        <color theme="1"/>
        <name val="Calibri"/>
        <scheme val="minor"/>
      </font>
      <alignment horizontal="center" vertical="bottom" textRotation="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right" vertical="bottom" textRotation="0" wrapText="0" indent="0" justifyLastLine="0" shrinkToFit="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strike val="0"/>
        <outline val="0"/>
        <shadow val="0"/>
        <u val="none"/>
        <vertAlign val="baseline"/>
        <sz val="11"/>
        <color theme="1"/>
        <name val="Calibri"/>
        <scheme val="minor"/>
      </font>
      <alignment horizontal="righ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fill>
        <patternFill patternType="solid">
          <fgColor indexed="64"/>
          <bgColor rgb="FF006699"/>
        </patternFill>
      </fill>
      <alignment horizontal="center" vertical="bottom" textRotation="0" wrapText="1" indent="0" justifyLastLine="0" shrinkToFit="0" readingOrder="0"/>
    </dxf>
  </dxfs>
  <tableStyles count="0" defaultTableStyle="TableStyleMedium9" defaultPivotStyle="PivotStyleMedium4"/>
  <colors>
    <mruColors>
      <color rgb="FF00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a:t>
            </a:r>
            <a:r>
              <a:rPr lang="en-US" baseline="0"/>
              <a:t> </a:t>
            </a:r>
            <a:r>
              <a:rPr lang="en-US"/>
              <a:t>Energy Use by Sector (MMBtu)</a:t>
            </a:r>
            <a:r>
              <a:rPr lang="en-US" baseline="0"/>
              <a:t> </a:t>
            </a:r>
          </a:p>
          <a:p>
            <a:pPr>
              <a:defRPr/>
            </a:pPr>
            <a:r>
              <a:rPr lang="en-US" i="1" baseline="0"/>
              <a:t>Government Name, Year</a:t>
            </a:r>
            <a:endParaRPr lang="en-US" i="1"/>
          </a:p>
        </c:rich>
      </c:tx>
      <c:overlay val="0"/>
    </c:title>
    <c:autoTitleDeleted val="0"/>
    <c:plotArea>
      <c:layout>
        <c:manualLayout>
          <c:layoutTarget val="inner"/>
          <c:xMode val="edge"/>
          <c:yMode val="edge"/>
          <c:x val="0.29467120181405898"/>
          <c:y val="0.29307116104868902"/>
          <c:w val="0.40612244897959199"/>
          <c:h val="0.67078651685393198"/>
        </c:manualLayout>
      </c:layout>
      <c:pieChart>
        <c:varyColors val="1"/>
        <c:ser>
          <c:idx val="0"/>
          <c:order val="0"/>
          <c:dLbls>
            <c:dLbl>
              <c:idx val="0"/>
              <c:layout>
                <c:manualLayout>
                  <c:x val="-0.13933265212077497"/>
                  <c:y val="6.5302679411062922E-2"/>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'Government Energy InputOutput'!$G$22:$G$24</c:f>
              <c:strCache>
                <c:ptCount val="3"/>
                <c:pt idx="0">
                  <c:v>Buildings</c:v>
                </c:pt>
                <c:pt idx="1">
                  <c:v>Other Facilities</c:v>
                </c:pt>
                <c:pt idx="2">
                  <c:v>Transportation</c:v>
                </c:pt>
              </c:strCache>
            </c:strRef>
          </c:cat>
          <c:val>
            <c:numRef>
              <c:f>'Government Energy InputOutput'!$I$22:$I$24</c:f>
              <c:numCache>
                <c:formatCode>0.00</c:formatCode>
                <c:ptCount val="3"/>
                <c:pt idx="0">
                  <c:v>39.331646077714055</c:v>
                </c:pt>
                <c:pt idx="1">
                  <c:v>24.987821148119316</c:v>
                </c:pt>
                <c:pt idx="2">
                  <c:v>35.680532774166615</c:v>
                </c:pt>
              </c:numCache>
            </c:numRef>
          </c:val>
        </c:ser>
        <c:dLbls>
          <c:dLblPos val="bestFit"/>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 Energy Use by Sector (MMBtu)</a:t>
            </a:r>
            <a:r>
              <a:rPr lang="en-US" baseline="0"/>
              <a:t> </a:t>
            </a:r>
          </a:p>
          <a:p>
            <a:pPr>
              <a:defRPr/>
            </a:pPr>
            <a:r>
              <a:rPr lang="en-US" i="1" baseline="0"/>
              <a:t>Community Name, Year</a:t>
            </a:r>
            <a:endParaRPr lang="en-US" i="1"/>
          </a:p>
        </c:rich>
      </c:tx>
      <c:overlay val="0"/>
    </c:title>
    <c:autoTitleDeleted val="0"/>
    <c:plotArea>
      <c:layout>
        <c:manualLayout>
          <c:layoutTarget val="inner"/>
          <c:xMode val="edge"/>
          <c:yMode val="edge"/>
          <c:x val="0.29467120181405898"/>
          <c:y val="0.29307116104868902"/>
          <c:w val="0.40612244897959199"/>
          <c:h val="0.67078651685393198"/>
        </c:manualLayout>
      </c:layout>
      <c:pieChart>
        <c:varyColors val="1"/>
        <c:ser>
          <c:idx val="0"/>
          <c:order val="0"/>
          <c:dLbls>
            <c:dLbl>
              <c:idx val="0"/>
              <c:layout>
                <c:manualLayout>
                  <c:x val="0.22097273555091301"/>
                  <c:y val="2.2521976852685501E-2"/>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'Community Energy InputOutput'!$G$22:$G$25</c:f>
              <c:strCache>
                <c:ptCount val="4"/>
                <c:pt idx="0">
                  <c:v>Commercial</c:v>
                </c:pt>
                <c:pt idx="1">
                  <c:v>Residential</c:v>
                </c:pt>
                <c:pt idx="2">
                  <c:v>Transportation</c:v>
                </c:pt>
                <c:pt idx="3">
                  <c:v>Industrial</c:v>
                </c:pt>
              </c:strCache>
            </c:strRef>
          </c:cat>
          <c:val>
            <c:numRef>
              <c:f>'Community Energy InputOutput'!$I$22:$I$25</c:f>
              <c:numCache>
                <c:formatCode>0.00</c:formatCode>
                <c:ptCount val="4"/>
                <c:pt idx="0">
                  <c:v>30.64154093037304</c:v>
                </c:pt>
                <c:pt idx="1">
                  <c:v>32.1943513000639</c:v>
                </c:pt>
                <c:pt idx="2">
                  <c:v>7.7636575901184388</c:v>
                </c:pt>
                <c:pt idx="3">
                  <c:v>29.400450179444626</c:v>
                </c:pt>
              </c:numCache>
            </c:numRef>
          </c:val>
        </c:ser>
        <c:dLbls>
          <c:dLblPos val="bestFit"/>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a:t>
            </a:r>
            <a:r>
              <a:rPr lang="en-US" baseline="0"/>
              <a:t> </a:t>
            </a:r>
            <a:r>
              <a:rPr lang="en-US"/>
              <a:t>Energy Cost by Sector ($$)</a:t>
            </a:r>
            <a:r>
              <a:rPr lang="en-US" baseline="0"/>
              <a:t> </a:t>
            </a:r>
          </a:p>
          <a:p>
            <a:pPr>
              <a:defRPr/>
            </a:pPr>
            <a:r>
              <a:rPr lang="en-US" i="1" baseline="0"/>
              <a:t>Government Name, Year</a:t>
            </a:r>
            <a:endParaRPr lang="en-US" i="1"/>
          </a:p>
        </c:rich>
      </c:tx>
      <c:overlay val="0"/>
    </c:title>
    <c:autoTitleDeleted val="0"/>
    <c:plotArea>
      <c:layout>
        <c:manualLayout>
          <c:layoutTarget val="inner"/>
          <c:xMode val="edge"/>
          <c:yMode val="edge"/>
          <c:x val="0.29467120181405898"/>
          <c:y val="0.29307116104868902"/>
          <c:w val="0.40612244897959199"/>
          <c:h val="0.67078651685393198"/>
        </c:manualLayout>
      </c:layout>
      <c:pieChart>
        <c:varyColors val="1"/>
        <c:ser>
          <c:idx val="0"/>
          <c:order val="0"/>
          <c:dLbls>
            <c:dLbl>
              <c:idx val="0"/>
              <c:layout>
                <c:manualLayout>
                  <c:x val="0.22097273555091301"/>
                  <c:y val="2.2521976852685501E-2"/>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'Government $$ InputOutput'!$F$21:$F$23</c:f>
              <c:strCache>
                <c:ptCount val="3"/>
                <c:pt idx="0">
                  <c:v>Buildings</c:v>
                </c:pt>
                <c:pt idx="1">
                  <c:v>Other Facilities</c:v>
                </c:pt>
                <c:pt idx="2">
                  <c:v>Transportation</c:v>
                </c:pt>
              </c:strCache>
            </c:strRef>
          </c:cat>
          <c:val>
            <c:numRef>
              <c:f>'Government $$ InputOutput'!$H$21:$H$23</c:f>
              <c:numCache>
                <c:formatCode>0.00</c:formatCode>
                <c:ptCount val="3"/>
                <c:pt idx="0">
                  <c:v>59.193357058125741</c:v>
                </c:pt>
                <c:pt idx="1">
                  <c:v>0</c:v>
                </c:pt>
                <c:pt idx="2">
                  <c:v>40.806642941874259</c:v>
                </c:pt>
              </c:numCache>
            </c:numRef>
          </c:val>
        </c:ser>
        <c:dLbls>
          <c:dLblPos val="bestFit"/>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 Energy Cost by Sector ($$)</a:t>
            </a:r>
            <a:r>
              <a:rPr lang="en-US" baseline="0"/>
              <a:t> </a:t>
            </a:r>
          </a:p>
          <a:p>
            <a:pPr>
              <a:defRPr/>
            </a:pPr>
            <a:r>
              <a:rPr lang="en-US" i="1" baseline="0"/>
              <a:t>Community Name, Year</a:t>
            </a:r>
            <a:endParaRPr lang="en-US" i="1"/>
          </a:p>
        </c:rich>
      </c:tx>
      <c:overlay val="0"/>
    </c:title>
    <c:autoTitleDeleted val="0"/>
    <c:plotArea>
      <c:layout>
        <c:manualLayout>
          <c:layoutTarget val="inner"/>
          <c:xMode val="edge"/>
          <c:yMode val="edge"/>
          <c:x val="0.29467120181405898"/>
          <c:y val="0.29307116104868902"/>
          <c:w val="0.40612244897959199"/>
          <c:h val="0.67078651685393198"/>
        </c:manualLayout>
      </c:layout>
      <c:pieChart>
        <c:varyColors val="1"/>
        <c:ser>
          <c:idx val="0"/>
          <c:order val="0"/>
          <c:dLbls>
            <c:dLbl>
              <c:idx val="0"/>
              <c:layout>
                <c:manualLayout>
                  <c:x val="0.22097273555091301"/>
                  <c:y val="2.2521976852685501E-2"/>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'Community $$ InputOutput'!$F$21:$F$24</c:f>
              <c:strCache>
                <c:ptCount val="4"/>
                <c:pt idx="0">
                  <c:v>Commercial</c:v>
                </c:pt>
                <c:pt idx="1">
                  <c:v>Residential</c:v>
                </c:pt>
                <c:pt idx="2">
                  <c:v>Transportation</c:v>
                </c:pt>
                <c:pt idx="3">
                  <c:v>Industrial</c:v>
                </c:pt>
              </c:strCache>
            </c:strRef>
          </c:cat>
          <c:val>
            <c:numRef>
              <c:f>'Community $$ InputOutput'!$H$21:$H$24</c:f>
              <c:numCache>
                <c:formatCode>"$"#,##0.00</c:formatCode>
                <c:ptCount val="4"/>
                <c:pt idx="0">
                  <c:v>45.970608138239363</c:v>
                </c:pt>
                <c:pt idx="1">
                  <c:v>23.700838372012363</c:v>
                </c:pt>
                <c:pt idx="2">
                  <c:v>2.7408125215008021</c:v>
                </c:pt>
                <c:pt idx="3">
                  <c:v>27.587740968247477</c:v>
                </c:pt>
              </c:numCache>
            </c:numRef>
          </c:val>
        </c:ser>
        <c:dLbls>
          <c:dLblPos val="bestFit"/>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508000</xdr:colOff>
      <xdr:row>1</xdr:row>
      <xdr:rowOff>101600</xdr:rowOff>
    </xdr:from>
    <xdr:to>
      <xdr:col>12</xdr:col>
      <xdr:colOff>241300</xdr:colOff>
      <xdr:row>17</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508000</xdr:colOff>
      <xdr:row>1</xdr:row>
      <xdr:rowOff>101600</xdr:rowOff>
    </xdr:from>
    <xdr:to>
      <xdr:col>12</xdr:col>
      <xdr:colOff>241300</xdr:colOff>
      <xdr:row>17</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1079500</xdr:colOff>
      <xdr:row>1</xdr:row>
      <xdr:rowOff>101600</xdr:rowOff>
    </xdr:from>
    <xdr:to>
      <xdr:col>10</xdr:col>
      <xdr:colOff>317500</xdr:colOff>
      <xdr:row>16</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460375</xdr:colOff>
      <xdr:row>1</xdr:row>
      <xdr:rowOff>82550</xdr:rowOff>
    </xdr:from>
    <xdr:to>
      <xdr:col>9</xdr:col>
      <xdr:colOff>317500</xdr:colOff>
      <xdr:row>16</xdr:row>
      <xdr:rowOff>44450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6" name="Table18" displayName="Table18" ref="A9:E17" totalsRowShown="0" headerRowDxfId="72" dataDxfId="71">
  <tableColumns count="5">
    <tableColumn id="1" name="Fuel" dataDxfId="70"/>
    <tableColumn id="5" name="Input units" dataDxfId="69"/>
    <tableColumn id="2" name="Conversion Factor to MMBtu from input units" dataDxfId="68"/>
    <tableColumn id="3" name="Source" dataDxfId="67"/>
    <tableColumn id="4" name="Range" dataDxfId="66"/>
  </tableColumns>
  <tableStyleInfo name="TableStyleMedium2" showFirstColumn="0" showLastColumn="0" showRowStripes="1" showColumnStripes="0"/>
</table>
</file>

<file path=xl/tables/table10.xml><?xml version="1.0" encoding="utf-8"?>
<table xmlns="http://schemas.openxmlformats.org/spreadsheetml/2006/main" id="11" name="Table1512" displayName="Table1512" ref="A23:E30" totalsRowShown="0" headerRowDxfId="40">
  <tableColumns count="5">
    <tableColumn id="1" name="Fuel Type"/>
    <tableColumn id="2" name="Consumed"/>
    <tableColumn id="5" name="Units"/>
    <tableColumn id="6" name="Conversion Factor to MMBTU*" dataDxfId="39">
      <calculatedColumnFormula>0.0034095106405145</calculatedColumnFormula>
    </tableColumn>
    <tableColumn id="4" name="Total MMBtu (Calculated)" dataDxfId="38">
      <calculatedColumnFormula>IF(Table1512[[#This Row],[Consumed]]=0,#REF!,Table1512[[#This Row],[Consumed]]*0.0034095)</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id="13" name="Table914" displayName="Table914" ref="G21:I26" totalsRowShown="0" headerRowDxfId="37">
  <tableColumns count="3">
    <tableColumn id="1" name="Sector"/>
    <tableColumn id="2" name="Total MMBtu" dataDxfId="36"/>
    <tableColumn id="3" name="% Total" dataDxfId="35">
      <calculatedColumnFormula>Table914[[#This Row],[Total MMBtu]]/$H$26*100</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id="15" name="Table17" displayName="Table17" ref="G30:M37" totalsRowShown="0" headerRowDxfId="34">
  <tableColumns count="7">
    <tableColumn id="1" name="Fuel Type"/>
    <tableColumn id="2" name="Commercial" dataDxfId="33"/>
    <tableColumn id="3" name="Residential" dataDxfId="32"/>
    <tableColumn id="4" name="Industrial" dataDxfId="31"/>
    <tableColumn id="5" name="Transportation" dataDxfId="30"/>
    <tableColumn id="6" name="Total" dataDxfId="29"/>
    <tableColumn id="7" name="Units" dataDxfId="28"/>
  </tableColumns>
  <tableStyleInfo name="TableStyleMedium2" showFirstColumn="0" showLastColumn="0" showRowStripes="1" showColumnStripes="0"/>
</table>
</file>

<file path=xl/tables/table13.xml><?xml version="1.0" encoding="utf-8"?>
<table xmlns="http://schemas.openxmlformats.org/spreadsheetml/2006/main" id="6" name="Table1527" displayName="Table1527" ref="B3:C9" totalsRowShown="0" headerRowDxfId="27">
  <tableColumns count="2">
    <tableColumn id="1" name="Fuel Type"/>
    <tableColumn id="4" name="Total Cost " dataDxfId="26">
      <calculatedColumnFormula>IF(#REF!=0,#REF!,#REF!*0.0034095)</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9" name="Table1511310" displayName="Table1511310" ref="B12:C18" totalsRowShown="0" headerRowDxfId="25">
  <tableColumns count="2">
    <tableColumn id="1" name="Fuel Type"/>
    <tableColumn id="4" name="Total Cost " dataDxfId="24"/>
  </tableColumns>
  <tableStyleInfo name="TableStyleMedium2" showFirstColumn="0" showLastColumn="0" showRowStripes="1" showColumnStripes="0"/>
</table>
</file>

<file path=xl/tables/table15.xml><?xml version="1.0" encoding="utf-8"?>
<table xmlns="http://schemas.openxmlformats.org/spreadsheetml/2006/main" id="14" name="Table914815" displayName="Table914815" ref="F20:H24" totalsRowShown="0" headerRowDxfId="23">
  <tableColumns count="3">
    <tableColumn id="1" name="Sector"/>
    <tableColumn id="2" name="Total Cost" dataDxfId="22"/>
    <tableColumn id="3" name="% Total" dataDxfId="21">
      <calculatedColumnFormula>Table914815[[#This Row],[Total Cost]]/$G$24*100</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id="17" name="Table17918" displayName="Table17918" ref="F27:J34" totalsRowShown="0" headerRowDxfId="20">
  <tableColumns count="5">
    <tableColumn id="1" name="Fuel Type"/>
    <tableColumn id="2" name="Buildings" dataDxfId="19"/>
    <tableColumn id="3" name="Other Facilities" dataDxfId="18"/>
    <tableColumn id="5" name="Transportation" dataDxfId="17"/>
    <tableColumn id="6" name="Total" dataDxfId="16">
      <calculatedColumnFormula>SUM(G28:I28)</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id="12" name="Table16413" displayName="Table16413" ref="B22:C26" totalsRowShown="0" headerRowDxfId="15">
  <tableColumns count="2">
    <tableColumn id="1" name="Fuel Type"/>
    <tableColumn id="2" name="Total Cost"/>
  </tableColumns>
  <tableStyleInfo name="TableStyleMedium2" showFirstColumn="0" showLastColumn="0" showRowStripes="1" showColumnStripes="0"/>
</table>
</file>

<file path=xl/tables/table18.xml><?xml version="1.0" encoding="utf-8"?>
<table xmlns="http://schemas.openxmlformats.org/spreadsheetml/2006/main" id="18" name="Table1519" displayName="Table1519" ref="B3:C9" totalsRowShown="0" headerRowDxfId="14">
  <tableColumns count="2">
    <tableColumn id="1" name="Fuel Type"/>
    <tableColumn id="4" name="Total Cost" dataDxfId="13"/>
  </tableColumns>
  <tableStyleInfo name="TableStyleMedium2" showFirstColumn="0" showLastColumn="0" showRowStripes="1" showColumnStripes="0"/>
</table>
</file>

<file path=xl/tables/table19.xml><?xml version="1.0" encoding="utf-8"?>
<table xmlns="http://schemas.openxmlformats.org/spreadsheetml/2006/main" id="20" name="Table1621" displayName="Table1621" ref="B30:C34" totalsRowShown="0" headerRowDxfId="12">
  <tableColumns count="2">
    <tableColumn id="1" name="Fuel Type"/>
    <tableColumn id="2" name="Total Cost"/>
  </tableColumns>
  <tableStyleInfo name="TableStyleMedium2" showFirstColumn="0" showLastColumn="0" showRowStripes="1" showColumnStripes="0"/>
</table>
</file>

<file path=xl/tables/table2.xml><?xml version="1.0" encoding="utf-8"?>
<table xmlns="http://schemas.openxmlformats.org/spreadsheetml/2006/main" id="1" name="Table152" displayName="Table152" ref="A3:E10" totalsRowShown="0" headerRowDxfId="65">
  <tableColumns count="5">
    <tableColumn id="1" name="Fuel Type"/>
    <tableColumn id="2" name="Consumed"/>
    <tableColumn id="5" name="Units"/>
    <tableColumn id="6" name="Conversion Factor to MMBTU*" dataDxfId="64">
      <calculatedColumnFormula>0.0034095106405145</calculatedColumnFormula>
    </tableColumn>
    <tableColumn id="4" name="Total MMBtu (Calculated)" dataDxfId="63">
      <calculatedColumnFormula>IF(Table152[[#This Row],[Consumed]]=0,#REF!,Table152[[#This Row],[Consumed]]*0.0034095)</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id="21" name="Table151222" displayName="Table151222" ref="B21:C27" totalsRowShown="0" headerRowDxfId="11">
  <tableColumns count="2">
    <tableColumn id="1" name="Fuel Type"/>
    <tableColumn id="2" name="Total Cost"/>
  </tableColumns>
  <tableStyleInfo name="TableStyleMedium2" showFirstColumn="0" showLastColumn="0" showRowStripes="1" showColumnStripes="0"/>
</table>
</file>

<file path=xl/tables/table21.xml><?xml version="1.0" encoding="utf-8"?>
<table xmlns="http://schemas.openxmlformats.org/spreadsheetml/2006/main" id="22" name="Table91423" displayName="Table91423" ref="F20:H25" totalsRowShown="0" headerRowDxfId="10">
  <tableColumns count="3">
    <tableColumn id="1" name="Sector"/>
    <tableColumn id="2" name="Total Cost" dataDxfId="9"/>
    <tableColumn id="3" name="% Total" dataDxfId="8">
      <calculatedColumnFormula>Table91423[[#This Row],[Total Cost]]/$G$25*100</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id="23" name="Table1724" displayName="Table1724" ref="F28:K35" totalsRowShown="0" headerRowDxfId="7">
  <tableColumns count="6">
    <tableColumn id="1" name="Fuel Type"/>
    <tableColumn id="2" name="Commercial" dataDxfId="6"/>
    <tableColumn id="3" name="Residential" dataDxfId="5"/>
    <tableColumn id="4" name="Industrial" dataDxfId="4"/>
    <tableColumn id="5" name="Transportation" dataDxfId="3"/>
    <tableColumn id="6" name="Total Cost" dataDxfId="2">
      <calculatedColumnFormula>SUM(G29:J29)</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id="19" name="Table151120" displayName="Table151120" ref="B12:C18" totalsRowShown="0" headerRowDxfId="1">
  <tableColumns count="2">
    <tableColumn id="1" name="Fuel Type"/>
    <tableColumn id="4" name="Total Cost" dataDxfId="0"/>
  </tableColumns>
  <tableStyleInfo name="TableStyleMedium2" showFirstColumn="0" showLastColumn="0" showRowStripes="1" showColumnStripes="0"/>
</table>
</file>

<file path=xl/tables/table3.xml><?xml version="1.0" encoding="utf-8"?>
<table xmlns="http://schemas.openxmlformats.org/spreadsheetml/2006/main" id="2" name="Table15113" displayName="Table15113" ref="A13:E20" totalsRowShown="0" headerRowDxfId="62">
  <tableColumns count="5">
    <tableColumn id="1" name="Fuel Type"/>
    <tableColumn id="2" name="Consumed"/>
    <tableColumn id="5" name="Units"/>
    <tableColumn id="6" name="Conversion Factor to MMBTU*" dataDxfId="61">
      <calculatedColumnFormula>0.0034095106405145</calculatedColumnFormula>
    </tableColumn>
    <tableColumn id="4" name="Total MMBtu (Calculated)" dataDxfId="60">
      <calculatedColumnFormula>IF(Table15113[[#This Row],[Consumed]]=0,#REF!,Table15113[[#This Row],[Consumed]]*0.0034095)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3" name="Table164" displayName="Table164" ref="A23:E28" totalsRowShown="0" headerRowDxfId="59">
  <tableColumns count="5">
    <tableColumn id="1" name="Fuel Type"/>
    <tableColumn id="2" name="Consumed"/>
    <tableColumn id="3" name="Units"/>
    <tableColumn id="4" name="Conversion Factor to MMBTU*" dataDxfId="58">
      <calculatedColumnFormula>IF(Table164[[#This Row],[Consumed]]=0,Table164[[#This Row],[Units]],Table164[[#This Row],[Consumed]]*0.0034095)</calculatedColumnFormula>
    </tableColumn>
    <tableColumn id="5" name="Total MMBtu (Calculated)"/>
  </tableColumns>
  <tableStyleInfo name="TableStyleMedium2" showFirstColumn="0" showLastColumn="0" showRowStripes="1" showColumnStripes="0"/>
</table>
</file>

<file path=xl/tables/table5.xml><?xml version="1.0" encoding="utf-8"?>
<table xmlns="http://schemas.openxmlformats.org/spreadsheetml/2006/main" id="7" name="Table9148" displayName="Table9148" ref="G21:I25" totalsRowShown="0" headerRowDxfId="57">
  <tableColumns count="3">
    <tableColumn id="1" name="Sector"/>
    <tableColumn id="2" name="Total MMBtu" dataDxfId="56"/>
    <tableColumn id="3" name="% Total" dataDxfId="55">
      <calculatedColumnFormula>Table9148[[#This Row],[Total MMBtu]]/$H$25*100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8" name="Table179" displayName="Table179" ref="G28:L35" totalsRowShown="0" headerRowDxfId="54">
  <tableColumns count="6">
    <tableColumn id="1" name="Fuel Type"/>
    <tableColumn id="2" name="Buildings" dataDxfId="53"/>
    <tableColumn id="3" name="Other Facilities" dataDxfId="52"/>
    <tableColumn id="5" name="Transportation" dataDxfId="51"/>
    <tableColumn id="6" name="Total" dataDxfId="50"/>
    <tableColumn id="7" name="Units" dataDxfId="49"/>
  </tableColumns>
  <tableStyleInfo name="TableStyleMedium2" showFirstColumn="0" showLastColumn="0" showRowStripes="1" showColumnStripes="0"/>
</table>
</file>

<file path=xl/tables/table7.xml><?xml version="1.0" encoding="utf-8"?>
<table xmlns="http://schemas.openxmlformats.org/spreadsheetml/2006/main" id="4" name="Table15" displayName="Table15" ref="A3:E10" totalsRowShown="0" headerRowDxfId="48">
  <tableColumns count="5">
    <tableColumn id="1" name="Fuel Type"/>
    <tableColumn id="2" name="Consumed"/>
    <tableColumn id="5" name="Units"/>
    <tableColumn id="6" name="Conversion Factor to MMBTU*" dataDxfId="47">
      <calculatedColumnFormula>0.0034095106405145</calculatedColumnFormula>
    </tableColumn>
    <tableColumn id="4" name="Total MMBtu (Calculated)" dataDxfId="46">
      <calculatedColumnFormula>IF(Table15[[#This Row],[Consumed]]=0,#REF!,Table15[[#This Row],[Consumed]]*0.0034095)</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0" name="Table1511" displayName="Table1511" ref="A13:E20" totalsRowShown="0" headerRowDxfId="45">
  <tableColumns count="5">
    <tableColumn id="1" name="Fuel Type"/>
    <tableColumn id="2" name="Consumed"/>
    <tableColumn id="5" name="Units"/>
    <tableColumn id="6" name="Conversion Factor to MMBTU*" dataDxfId="44">
      <calculatedColumnFormula>0.0034095106405145</calculatedColumnFormula>
    </tableColumn>
    <tableColumn id="4" name="Total MMBtu (Calculated)" dataDxfId="43">
      <calculatedColumnFormula>IF(Table1511[[#This Row],[Consumed]]=0,#REF!,Table1511[[#This Row],[Consumed]]*0.0034095)</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5" name="Table16" displayName="Table16" ref="A33:E38" totalsRowShown="0" headerRowDxfId="42">
  <tableColumns count="5">
    <tableColumn id="1" name="Fuel Type"/>
    <tableColumn id="2" name="Consumed"/>
    <tableColumn id="3" name="Units"/>
    <tableColumn id="4" name="Conversion Factor to MMBTU*" dataDxfId="41">
      <calculatedColumnFormula>Instructions!C15</calculatedColumnFormula>
    </tableColumn>
    <tableColumn id="5" name="Total MMBtu (Calcula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drawing" Target="../drawings/drawing2.xml"/><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9.xml"/><Relationship Id="rId7" Type="http://schemas.openxmlformats.org/officeDocument/2006/relationships/table" Target="../tables/table23.xml"/><Relationship Id="rId2" Type="http://schemas.openxmlformats.org/officeDocument/2006/relationships/table" Target="../tables/table18.xml"/><Relationship Id="rId1" Type="http://schemas.openxmlformats.org/officeDocument/2006/relationships/drawing" Target="../drawings/drawing4.xml"/><Relationship Id="rId6" Type="http://schemas.openxmlformats.org/officeDocument/2006/relationships/table" Target="../tables/table22.xml"/><Relationship Id="rId5" Type="http://schemas.openxmlformats.org/officeDocument/2006/relationships/table" Target="../tables/table21.xml"/><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tabSelected="1" workbookViewId="0">
      <selection activeCell="C38" sqref="C38"/>
    </sheetView>
  </sheetViews>
  <sheetFormatPr defaultColWidth="11" defaultRowHeight="15.75" x14ac:dyDescent="0.25"/>
  <cols>
    <col min="1" max="1" width="16.375" customWidth="1"/>
    <col min="2" max="2" width="11.125" customWidth="1"/>
    <col min="3" max="3" width="17.375" customWidth="1"/>
    <col min="4" max="4" width="56.375" customWidth="1"/>
    <col min="5" max="5" width="13.5" style="7" customWidth="1"/>
  </cols>
  <sheetData>
    <row r="1" spans="1:7" ht="19.5" x14ac:dyDescent="0.25">
      <c r="A1" s="30" t="s">
        <v>69</v>
      </c>
      <c r="B1" s="26"/>
    </row>
    <row r="2" spans="1:7" x14ac:dyDescent="0.25">
      <c r="A2" s="13" t="s">
        <v>27</v>
      </c>
      <c r="B2" s="13"/>
      <c r="C2" s="10"/>
      <c r="D2" s="10"/>
      <c r="E2" s="28"/>
    </row>
    <row r="3" spans="1:7" x14ac:dyDescent="0.25">
      <c r="A3" s="13" t="s">
        <v>53</v>
      </c>
      <c r="B3" s="13"/>
      <c r="C3" s="10"/>
      <c r="D3" s="10"/>
      <c r="E3" s="28"/>
    </row>
    <row r="4" spans="1:7" x14ac:dyDescent="0.25">
      <c r="A4" s="13" t="s">
        <v>28</v>
      </c>
      <c r="B4" s="13"/>
      <c r="C4" s="10"/>
      <c r="D4" s="10"/>
      <c r="E4" s="28"/>
    </row>
    <row r="5" spans="1:7" x14ac:dyDescent="0.25">
      <c r="A5" s="13" t="s">
        <v>38</v>
      </c>
      <c r="B5" s="13"/>
      <c r="C5" s="10"/>
      <c r="D5" s="10"/>
      <c r="E5" s="28"/>
      <c r="G5" s="19"/>
    </row>
    <row r="8" spans="1:7" x14ac:dyDescent="0.25">
      <c r="A8" s="29" t="s">
        <v>37</v>
      </c>
      <c r="B8" s="11"/>
      <c r="C8" s="11"/>
      <c r="D8" s="11"/>
    </row>
    <row r="9" spans="1:7" s="14" customFormat="1" ht="45" x14ac:dyDescent="0.25">
      <c r="A9" s="31" t="s">
        <v>29</v>
      </c>
      <c r="B9" s="32" t="s">
        <v>74</v>
      </c>
      <c r="C9" s="32" t="s">
        <v>75</v>
      </c>
      <c r="D9" s="31" t="s">
        <v>30</v>
      </c>
      <c r="E9" s="33" t="s">
        <v>42</v>
      </c>
    </row>
    <row r="10" spans="1:7" x14ac:dyDescent="0.25">
      <c r="A10" s="12" t="s">
        <v>1</v>
      </c>
      <c r="B10" s="27" t="s">
        <v>19</v>
      </c>
      <c r="C10" s="12">
        <f>3412/1000000</f>
        <v>3.4120000000000001E-3</v>
      </c>
      <c r="D10" s="11" t="s">
        <v>31</v>
      </c>
      <c r="E10" s="16"/>
    </row>
    <row r="11" spans="1:7" x14ac:dyDescent="0.25">
      <c r="A11" s="12" t="s">
        <v>2</v>
      </c>
      <c r="B11" s="27" t="s">
        <v>20</v>
      </c>
      <c r="C11" s="12">
        <f>1/1000000</f>
        <v>9.9999999999999995E-7</v>
      </c>
      <c r="D11" s="11" t="s">
        <v>31</v>
      </c>
      <c r="E11" s="16"/>
    </row>
    <row r="12" spans="1:7" x14ac:dyDescent="0.25">
      <c r="A12" s="12" t="s">
        <v>3</v>
      </c>
      <c r="B12" s="27" t="s">
        <v>21</v>
      </c>
      <c r="C12" s="12">
        <f>5.67/42</f>
        <v>0.13500000000000001</v>
      </c>
      <c r="D12" s="11" t="s">
        <v>32</v>
      </c>
      <c r="E12" s="16"/>
    </row>
    <row r="13" spans="1:7" x14ac:dyDescent="0.25">
      <c r="A13" s="12" t="s">
        <v>4</v>
      </c>
      <c r="B13" s="27" t="s">
        <v>21</v>
      </c>
      <c r="C13" s="12">
        <f>5.825/42</f>
        <v>0.1386904761904762</v>
      </c>
      <c r="D13" s="11" t="s">
        <v>32</v>
      </c>
      <c r="E13" s="16"/>
    </row>
    <row r="14" spans="1:7" x14ac:dyDescent="0.25">
      <c r="A14" s="12" t="s">
        <v>5</v>
      </c>
      <c r="B14" s="27" t="s">
        <v>21</v>
      </c>
      <c r="C14" s="12">
        <f>3.836/42</f>
        <v>9.1333333333333336E-2</v>
      </c>
      <c r="D14" s="11" t="s">
        <v>32</v>
      </c>
      <c r="E14" s="16"/>
    </row>
    <row r="15" spans="1:7" x14ac:dyDescent="0.25">
      <c r="A15" s="12" t="s">
        <v>10</v>
      </c>
      <c r="B15" s="27" t="s">
        <v>21</v>
      </c>
      <c r="C15" s="12">
        <v>0.125</v>
      </c>
      <c r="D15" s="11" t="s">
        <v>34</v>
      </c>
      <c r="E15" s="16" t="s">
        <v>33</v>
      </c>
    </row>
    <row r="16" spans="1:7" x14ac:dyDescent="0.25">
      <c r="A16" s="12" t="s">
        <v>9</v>
      </c>
      <c r="B16" s="27" t="s">
        <v>21</v>
      </c>
      <c r="C16" s="12">
        <v>0.129</v>
      </c>
      <c r="D16" s="11" t="s">
        <v>34</v>
      </c>
      <c r="E16" s="16" t="s">
        <v>35</v>
      </c>
    </row>
    <row r="17" spans="1:5" x14ac:dyDescent="0.25">
      <c r="A17" s="17" t="s">
        <v>11</v>
      </c>
      <c r="B17" s="27" t="s">
        <v>21</v>
      </c>
      <c r="C17" s="12">
        <v>0.04</v>
      </c>
      <c r="D17" s="11" t="s">
        <v>34</v>
      </c>
      <c r="E17" s="16" t="s">
        <v>36</v>
      </c>
    </row>
  </sheetData>
  <pageMargins left="0.75" right="0.75" top="1" bottom="1" header="0.5" footer="0.5"/>
  <pageSetup scale="97" fitToHeight="0" orientation="landscape" r:id="rId1"/>
  <headerFooter>
    <oddFooter>&amp;LGuide to Community Energy Strategic Planning&amp;C1&amp;RMarch 2013</oddFooter>
  </headerFooter>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60" zoomScaleNormal="100" workbookViewId="0">
      <selection activeCell="H42" sqref="H42"/>
    </sheetView>
  </sheetViews>
  <sheetFormatPr defaultColWidth="11" defaultRowHeight="15.75" x14ac:dyDescent="0.25"/>
  <cols>
    <col min="1" max="1" width="16.625" customWidth="1"/>
    <col min="2" max="2" width="14.875" customWidth="1"/>
    <col min="3" max="3" width="11" customWidth="1"/>
    <col min="4" max="4" width="19.125" customWidth="1"/>
    <col min="5" max="5" width="18.375" customWidth="1"/>
    <col min="6" max="6" width="10" customWidth="1"/>
    <col min="7" max="7" width="19.875" customWidth="1"/>
    <col min="8" max="8" width="12" customWidth="1"/>
    <col min="9" max="9" width="14.125" customWidth="1"/>
    <col min="10" max="10" width="14.625" customWidth="1"/>
    <col min="11" max="11" width="12.875" customWidth="1"/>
    <col min="12" max="12" width="11.875" customWidth="1"/>
    <col min="13" max="13" width="9.5" customWidth="1"/>
  </cols>
  <sheetData>
    <row r="1" spans="1:6" ht="18.75" x14ac:dyDescent="0.25">
      <c r="A1" s="34" t="s">
        <v>70</v>
      </c>
    </row>
    <row r="2" spans="1:6" x14ac:dyDescent="0.25">
      <c r="A2" t="s">
        <v>48</v>
      </c>
    </row>
    <row r="3" spans="1:6" ht="31.5" x14ac:dyDescent="0.25">
      <c r="A3" s="35" t="s">
        <v>0</v>
      </c>
      <c r="B3" s="35" t="s">
        <v>22</v>
      </c>
      <c r="C3" s="35" t="s">
        <v>18</v>
      </c>
      <c r="D3" s="35" t="s">
        <v>12</v>
      </c>
      <c r="E3" s="35" t="s">
        <v>8</v>
      </c>
      <c r="F3" s="2"/>
    </row>
    <row r="4" spans="1:6" s="2" customFormat="1" x14ac:dyDescent="0.25">
      <c r="A4" t="s">
        <v>1</v>
      </c>
      <c r="B4" s="10">
        <v>825000</v>
      </c>
      <c r="C4" t="s">
        <v>19</v>
      </c>
      <c r="D4" s="5">
        <f>Instructions!C10</f>
        <v>3.4120000000000001E-3</v>
      </c>
      <c r="E4" s="8">
        <f>Table152[[#This Row],[Conversion Factor to MMBTU*]]*Table152[[#This Row],[Consumed]]</f>
        <v>2814.9</v>
      </c>
      <c r="F4"/>
    </row>
    <row r="5" spans="1:6" x14ac:dyDescent="0.25">
      <c r="A5" t="s">
        <v>2</v>
      </c>
      <c r="B5" s="10">
        <v>2500000000</v>
      </c>
      <c r="C5" t="s">
        <v>20</v>
      </c>
      <c r="D5" s="5">
        <f>Instructions!C11</f>
        <v>9.9999999999999995E-7</v>
      </c>
      <c r="E5" s="8">
        <f>Table152[[#This Row],[Consumed]]*Table152[[#This Row],[Conversion Factor to MMBTU*]]</f>
        <v>2500</v>
      </c>
    </row>
    <row r="6" spans="1:6" x14ac:dyDescent="0.25">
      <c r="A6" t="s">
        <v>3</v>
      </c>
      <c r="B6" s="10">
        <v>25000</v>
      </c>
      <c r="C6" t="s">
        <v>21</v>
      </c>
      <c r="D6" s="5">
        <f>Instructions!C12</f>
        <v>0.13500000000000001</v>
      </c>
      <c r="E6" s="8">
        <f>Table152[[#This Row],[Consumed]]*Table152[[#This Row],[Conversion Factor to MMBTU*]]</f>
        <v>3375</v>
      </c>
    </row>
    <row r="7" spans="1:6" x14ac:dyDescent="0.25">
      <c r="A7" t="s">
        <v>4</v>
      </c>
      <c r="B7" s="10">
        <v>25000</v>
      </c>
      <c r="C7" t="s">
        <v>21</v>
      </c>
      <c r="D7" s="5">
        <f>Instructions!C13</f>
        <v>0.1386904761904762</v>
      </c>
      <c r="E7" s="8">
        <f>Table152[[#This Row],[Conversion Factor to MMBTU*]]*Table152[[#This Row],[Consumed]]</f>
        <v>3467.261904761905</v>
      </c>
    </row>
    <row r="8" spans="1:6" x14ac:dyDescent="0.25">
      <c r="A8" t="s">
        <v>5</v>
      </c>
      <c r="B8" s="10">
        <v>25000</v>
      </c>
      <c r="C8" t="s">
        <v>21</v>
      </c>
      <c r="D8" s="5">
        <f>Instructions!C14</f>
        <v>9.1333333333333336E-2</v>
      </c>
      <c r="E8" s="8">
        <f>Table152[[#This Row],[Conversion Factor to MMBTU*]]*Table152[[#This Row],[Consumed]]</f>
        <v>2283.3333333333335</v>
      </c>
    </row>
    <row r="9" spans="1:6" x14ac:dyDescent="0.25">
      <c r="A9" s="1" t="s">
        <v>6</v>
      </c>
      <c r="E9" s="9">
        <f>SUM(E4:E8)</f>
        <v>14440.495238095238</v>
      </c>
    </row>
    <row r="10" spans="1:6" x14ac:dyDescent="0.25">
      <c r="A10" s="3" t="s">
        <v>26</v>
      </c>
      <c r="B10" s="3"/>
      <c r="C10" s="3"/>
      <c r="D10" s="3"/>
      <c r="E10" s="4"/>
    </row>
    <row r="12" spans="1:6" x14ac:dyDescent="0.25">
      <c r="A12" t="s">
        <v>49</v>
      </c>
    </row>
    <row r="13" spans="1:6" ht="31.5" x14ac:dyDescent="0.25">
      <c r="A13" s="35" t="s">
        <v>0</v>
      </c>
      <c r="B13" s="35" t="s">
        <v>22</v>
      </c>
      <c r="C13" s="35" t="s">
        <v>18</v>
      </c>
      <c r="D13" s="35" t="s">
        <v>12</v>
      </c>
      <c r="E13" s="35" t="s">
        <v>8</v>
      </c>
    </row>
    <row r="14" spans="1:6" x14ac:dyDescent="0.25">
      <c r="A14" t="s">
        <v>1</v>
      </c>
      <c r="B14" s="10">
        <v>50000</v>
      </c>
      <c r="C14" t="s">
        <v>19</v>
      </c>
      <c r="D14" s="5">
        <f>D4</f>
        <v>3.4120000000000001E-3</v>
      </c>
      <c r="E14" s="8">
        <f>Table15113[[#This Row],[Conversion Factor to MMBTU*]]*Table15113[[#This Row],[Consumed]]</f>
        <v>170.6</v>
      </c>
    </row>
    <row r="15" spans="1:6" x14ac:dyDescent="0.25">
      <c r="A15" t="s">
        <v>2</v>
      </c>
      <c r="B15" s="10">
        <v>62222222</v>
      </c>
      <c r="C15" t="s">
        <v>20</v>
      </c>
      <c r="D15" s="5">
        <f t="shared" ref="D15:D18" si="0">D5</f>
        <v>9.9999999999999995E-7</v>
      </c>
      <c r="E15" s="8">
        <f>Table15113[[#This Row],[Consumed]]*Table15113[[#This Row],[Conversion Factor to MMBTU*]]</f>
        <v>62.222221999999995</v>
      </c>
    </row>
    <row r="16" spans="1:6" x14ac:dyDescent="0.25">
      <c r="A16" t="s">
        <v>3</v>
      </c>
      <c r="B16" s="10">
        <v>30000</v>
      </c>
      <c r="C16" t="s">
        <v>21</v>
      </c>
      <c r="D16" s="5">
        <f t="shared" si="0"/>
        <v>0.13500000000000001</v>
      </c>
      <c r="E16" s="8">
        <f>Table15113[[#This Row],[Consumed]]*Table15113[[#This Row],[Conversion Factor to MMBTU*]]</f>
        <v>4050.0000000000005</v>
      </c>
    </row>
    <row r="17" spans="1:12" x14ac:dyDescent="0.25">
      <c r="A17" t="s">
        <v>4</v>
      </c>
      <c r="B17" s="10">
        <v>30000</v>
      </c>
      <c r="C17" t="s">
        <v>21</v>
      </c>
      <c r="D17" s="5">
        <f t="shared" si="0"/>
        <v>0.1386904761904762</v>
      </c>
      <c r="E17" s="8">
        <f>Table15113[[#This Row],[Consumed]]*Table15113[[#This Row],[Conversion Factor to MMBTU*]]</f>
        <v>4160.7142857142862</v>
      </c>
    </row>
    <row r="18" spans="1:12" x14ac:dyDescent="0.25">
      <c r="A18" t="s">
        <v>5</v>
      </c>
      <c r="B18" s="10">
        <v>8000</v>
      </c>
      <c r="C18" t="s">
        <v>21</v>
      </c>
      <c r="D18" s="5">
        <f t="shared" si="0"/>
        <v>9.1333333333333336E-2</v>
      </c>
      <c r="E18" s="8">
        <f>Table15113[[#This Row],[Conversion Factor to MMBTU*]]*Table15113[[#This Row],[Consumed]]</f>
        <v>730.66666666666674</v>
      </c>
    </row>
    <row r="19" spans="1:12" x14ac:dyDescent="0.25">
      <c r="A19" s="1" t="s">
        <v>6</v>
      </c>
      <c r="E19" s="9">
        <f>SUM(E14:E18)</f>
        <v>9174.203174380953</v>
      </c>
    </row>
    <row r="20" spans="1:12" ht="30" customHeight="1" x14ac:dyDescent="0.25">
      <c r="A20" s="3" t="str">
        <f>A10</f>
        <v>*Average values used as defaults. See Sources on Instruction Sheet</v>
      </c>
      <c r="B20" s="3"/>
      <c r="C20" s="3"/>
      <c r="D20" s="3"/>
      <c r="E20" s="4"/>
      <c r="G20" s="40" t="s">
        <v>51</v>
      </c>
      <c r="H20" s="40"/>
      <c r="I20" s="40"/>
    </row>
    <row r="21" spans="1:12" x14ac:dyDescent="0.25">
      <c r="G21" s="36" t="s">
        <v>13</v>
      </c>
      <c r="H21" s="36" t="s">
        <v>7</v>
      </c>
      <c r="I21" s="36" t="s">
        <v>25</v>
      </c>
    </row>
    <row r="22" spans="1:12" ht="15.75" customHeight="1" x14ac:dyDescent="0.25">
      <c r="A22" s="42" t="s">
        <v>50</v>
      </c>
      <c r="B22" s="42"/>
      <c r="C22" s="42"/>
      <c r="D22" s="42"/>
      <c r="E22" s="42"/>
      <c r="F22" s="42"/>
      <c r="G22" t="s">
        <v>39</v>
      </c>
      <c r="H22" s="8">
        <f>E9</f>
        <v>14440.495238095238</v>
      </c>
      <c r="I22" s="8">
        <f>Table9148[[#This Row],[Total MMBtu]]/$H$25*100</f>
        <v>39.331646077714055</v>
      </c>
    </row>
    <row r="23" spans="1:12" ht="31.5" x14ac:dyDescent="0.25">
      <c r="A23" s="35" t="s">
        <v>0</v>
      </c>
      <c r="B23" s="35" t="s">
        <v>22</v>
      </c>
      <c r="C23" s="35" t="s">
        <v>18</v>
      </c>
      <c r="D23" s="35" t="s">
        <v>12</v>
      </c>
      <c r="E23" s="35" t="s">
        <v>8</v>
      </c>
      <c r="G23" t="s">
        <v>40</v>
      </c>
      <c r="H23" s="8">
        <f>E19</f>
        <v>9174.203174380953</v>
      </c>
      <c r="I23" s="8">
        <f>Table9148[[#This Row],[Total MMBtu]]/$H$25*100</f>
        <v>24.987821148119316</v>
      </c>
    </row>
    <row r="24" spans="1:12" x14ac:dyDescent="0.25">
      <c r="A24" t="s">
        <v>10</v>
      </c>
      <c r="B24" s="10">
        <v>50000</v>
      </c>
      <c r="C24" t="s">
        <v>21</v>
      </c>
      <c r="D24">
        <v>0.125</v>
      </c>
      <c r="E24" s="8">
        <f>Table164[[#This Row],[Conversion Factor to MMBTU*]]*Table164[[#This Row],[Consumed]]</f>
        <v>6250</v>
      </c>
      <c r="G24" t="s">
        <v>16</v>
      </c>
      <c r="H24" s="8">
        <f>E27</f>
        <v>13100</v>
      </c>
      <c r="I24" s="8">
        <f>Table9148[[#This Row],[Total MMBtu]]/$H$25*100</f>
        <v>35.680532774166615</v>
      </c>
    </row>
    <row r="25" spans="1:12" x14ac:dyDescent="0.25">
      <c r="A25" t="s">
        <v>9</v>
      </c>
      <c r="B25" s="10">
        <v>50000</v>
      </c>
      <c r="C25" t="s">
        <v>21</v>
      </c>
      <c r="D25">
        <v>0.129</v>
      </c>
      <c r="E25" s="8">
        <f>Table164[[#This Row],[Conversion Factor to MMBTU*]]*Table164[[#This Row],[Consumed]]</f>
        <v>6450</v>
      </c>
      <c r="G25" t="s">
        <v>6</v>
      </c>
      <c r="H25" s="8">
        <f>SUM(H22:H24)</f>
        <v>36714.698412476195</v>
      </c>
      <c r="I25" s="8">
        <f>Table9148[[#This Row],[Total MMBtu]]/$H$25*100</f>
        <v>100</v>
      </c>
      <c r="L25" t="s">
        <v>41</v>
      </c>
    </row>
    <row r="26" spans="1:12" x14ac:dyDescent="0.25">
      <c r="A26" t="s">
        <v>11</v>
      </c>
      <c r="B26" s="10">
        <v>10000</v>
      </c>
      <c r="C26" t="s">
        <v>21</v>
      </c>
      <c r="D26" s="6">
        <v>0.04</v>
      </c>
      <c r="E26" s="8">
        <f>Table164[[#This Row],[Conversion Factor to MMBTU*]]*Table164[[#This Row],[Consumed]]</f>
        <v>400</v>
      </c>
    </row>
    <row r="27" spans="1:12" x14ac:dyDescent="0.25">
      <c r="A27" s="1" t="s">
        <v>6</v>
      </c>
      <c r="D27" s="18"/>
      <c r="E27" s="9">
        <f>SUM(E24:E26)</f>
        <v>13100</v>
      </c>
      <c r="G27" s="41" t="s">
        <v>66</v>
      </c>
      <c r="H27" s="41"/>
      <c r="I27" s="41"/>
      <c r="J27" s="41"/>
      <c r="K27" s="41"/>
      <c r="L27" s="41"/>
    </row>
    <row r="28" spans="1:12" x14ac:dyDescent="0.25">
      <c r="A28" s="3" t="str">
        <f>A10</f>
        <v>*Average values used as defaults. See Sources on Instruction Sheet</v>
      </c>
      <c r="B28" s="3"/>
      <c r="C28" s="3"/>
      <c r="D28" s="4"/>
      <c r="G28" s="37" t="s">
        <v>0</v>
      </c>
      <c r="H28" s="37" t="s">
        <v>39</v>
      </c>
      <c r="I28" s="37" t="s">
        <v>40</v>
      </c>
      <c r="J28" s="37" t="s">
        <v>16</v>
      </c>
      <c r="K28" s="37" t="s">
        <v>6</v>
      </c>
      <c r="L28" s="37" t="s">
        <v>18</v>
      </c>
    </row>
    <row r="29" spans="1:12" x14ac:dyDescent="0.25">
      <c r="G29" t="s">
        <v>1</v>
      </c>
      <c r="H29" s="8">
        <f>E4</f>
        <v>2814.9</v>
      </c>
      <c r="I29" s="8">
        <f>E14</f>
        <v>170.6</v>
      </c>
      <c r="J29" s="8">
        <v>0</v>
      </c>
      <c r="K29" s="8">
        <f t="shared" ref="K29:K35" si="1">SUM(H29:J29)</f>
        <v>2985.5</v>
      </c>
      <c r="L29" s="15" t="s">
        <v>19</v>
      </c>
    </row>
    <row r="30" spans="1:12" x14ac:dyDescent="0.25">
      <c r="G30" t="s">
        <v>43</v>
      </c>
      <c r="H30" s="8">
        <f>E5</f>
        <v>2500</v>
      </c>
      <c r="I30" s="8">
        <f>E15</f>
        <v>62.222221999999995</v>
      </c>
      <c r="J30" s="8">
        <f>E26</f>
        <v>400</v>
      </c>
      <c r="K30" s="8">
        <f t="shared" si="1"/>
        <v>2962.2222219999999</v>
      </c>
      <c r="L30" s="15" t="s">
        <v>20</v>
      </c>
    </row>
    <row r="31" spans="1:12" x14ac:dyDescent="0.25">
      <c r="G31" t="s">
        <v>3</v>
      </c>
      <c r="H31" s="8">
        <f>E6</f>
        <v>3375</v>
      </c>
      <c r="I31" s="8">
        <f>E16</f>
        <v>4050.0000000000005</v>
      </c>
      <c r="J31" s="8">
        <v>0</v>
      </c>
      <c r="K31" s="8">
        <f t="shared" si="1"/>
        <v>7425</v>
      </c>
      <c r="L31" s="15" t="s">
        <v>21</v>
      </c>
    </row>
    <row r="32" spans="1:12" ht="27.95" customHeight="1" x14ac:dyDescent="0.25">
      <c r="G32" t="s">
        <v>23</v>
      </c>
      <c r="H32" s="8">
        <f>E7</f>
        <v>3467.261904761905</v>
      </c>
      <c r="I32" s="8">
        <f>E17</f>
        <v>4160.7142857142862</v>
      </c>
      <c r="J32" s="8">
        <v>0</v>
      </c>
      <c r="K32" s="8">
        <f t="shared" si="1"/>
        <v>7627.9761904761908</v>
      </c>
      <c r="L32" s="15" t="s">
        <v>21</v>
      </c>
    </row>
    <row r="33" spans="7:12" ht="29.1" customHeight="1" x14ac:dyDescent="0.25">
      <c r="G33" t="s">
        <v>5</v>
      </c>
      <c r="H33" s="8">
        <f>E8</f>
        <v>2283.3333333333335</v>
      </c>
      <c r="I33" s="8">
        <f>E18</f>
        <v>730.66666666666674</v>
      </c>
      <c r="J33" s="8">
        <v>0</v>
      </c>
      <c r="K33" s="8">
        <f t="shared" si="1"/>
        <v>3014</v>
      </c>
      <c r="L33" s="15" t="s">
        <v>21</v>
      </c>
    </row>
    <row r="34" spans="7:12" x14ac:dyDescent="0.25">
      <c r="G34" t="s">
        <v>10</v>
      </c>
      <c r="H34" s="8">
        <v>0</v>
      </c>
      <c r="I34" s="8">
        <v>0</v>
      </c>
      <c r="J34" s="8">
        <f>E24</f>
        <v>6250</v>
      </c>
      <c r="K34" s="8">
        <f t="shared" si="1"/>
        <v>6250</v>
      </c>
      <c r="L34" s="15" t="s">
        <v>21</v>
      </c>
    </row>
    <row r="35" spans="7:12" x14ac:dyDescent="0.25">
      <c r="G35" t="s">
        <v>24</v>
      </c>
      <c r="H35" s="8">
        <v>0</v>
      </c>
      <c r="I35" s="8">
        <v>0</v>
      </c>
      <c r="J35" s="8">
        <f>E25</f>
        <v>6450</v>
      </c>
      <c r="K35" s="8">
        <f t="shared" si="1"/>
        <v>6450</v>
      </c>
      <c r="L35" s="15" t="s">
        <v>21</v>
      </c>
    </row>
  </sheetData>
  <mergeCells count="3">
    <mergeCell ref="G20:I20"/>
    <mergeCell ref="G27:L27"/>
    <mergeCell ref="A22:F22"/>
  </mergeCells>
  <pageMargins left="0.75" right="0.75" top="1" bottom="1" header="0.5" footer="0.5"/>
  <pageSetup scale="95" orientation="portrait" horizontalDpi="4294967292" verticalDpi="4294967292" r:id="rId1"/>
  <headerFooter>
    <oddHeader>&amp;C&amp;"Calibri,Regular"&amp;K000000US Department of Energy _x000D_Clean Energy Strategic Planning Academy Enery Profiling Worksheet_x000D_9/12/11</oddHeader>
    <oddFooter>&amp;C&amp;"Calibri,Regular"&amp;K000000Developed by the National Renewable Energy Laboratory</oddFooter>
  </headerFooter>
  <rowBreaks count="1" manualBreakCount="1">
    <brk id="38" max="16383" man="1"/>
  </rowBreak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0" workbookViewId="0">
      <selection activeCell="E33" activeCellId="5" sqref="G21:I21 G30:M30 A3:E3 A13:E13 A23:E23 A33:E33"/>
    </sheetView>
  </sheetViews>
  <sheetFormatPr defaultColWidth="11" defaultRowHeight="15.75" x14ac:dyDescent="0.25"/>
  <cols>
    <col min="1" max="1" width="16.625" customWidth="1"/>
    <col min="2" max="2" width="14.875" customWidth="1"/>
    <col min="3" max="3" width="11" customWidth="1"/>
    <col min="4" max="4" width="19.125" customWidth="1"/>
    <col min="5" max="5" width="18.375" customWidth="1"/>
    <col min="6" max="6" width="4.5" customWidth="1"/>
    <col min="7" max="7" width="19.75" customWidth="1"/>
    <col min="8" max="8" width="12" customWidth="1"/>
    <col min="9" max="9" width="10.625" customWidth="1"/>
    <col min="10" max="10" width="9.125" customWidth="1"/>
    <col min="11" max="11" width="12.875" customWidth="1"/>
    <col min="12" max="12" width="11.875" customWidth="1"/>
    <col min="13" max="13" width="9.5" customWidth="1"/>
  </cols>
  <sheetData>
    <row r="1" spans="1:6" ht="18.75" x14ac:dyDescent="0.25">
      <c r="A1" s="34" t="s">
        <v>71</v>
      </c>
    </row>
    <row r="2" spans="1:6" x14ac:dyDescent="0.25">
      <c r="A2" t="s">
        <v>44</v>
      </c>
    </row>
    <row r="3" spans="1:6" ht="31.5" x14ac:dyDescent="0.25">
      <c r="A3" s="35" t="s">
        <v>0</v>
      </c>
      <c r="B3" s="35" t="s">
        <v>22</v>
      </c>
      <c r="C3" s="35" t="s">
        <v>18</v>
      </c>
      <c r="D3" s="35" t="s">
        <v>12</v>
      </c>
      <c r="E3" s="35" t="s">
        <v>8</v>
      </c>
      <c r="F3" s="2"/>
    </row>
    <row r="4" spans="1:6" s="2" customFormat="1" x14ac:dyDescent="0.25">
      <c r="A4" t="s">
        <v>1</v>
      </c>
      <c r="B4" s="10">
        <v>500000000</v>
      </c>
      <c r="C4" t="s">
        <v>19</v>
      </c>
      <c r="D4" s="5">
        <f>Instructions!C10</f>
        <v>3.4120000000000001E-3</v>
      </c>
      <c r="E4" s="8">
        <f>Table15[[#This Row],[Conversion Factor to MMBTU*]]*Table15[[#This Row],[Consumed]]</f>
        <v>1706000</v>
      </c>
      <c r="F4"/>
    </row>
    <row r="5" spans="1:6" x14ac:dyDescent="0.25">
      <c r="A5" t="s">
        <v>2</v>
      </c>
      <c r="B5" s="10">
        <v>624000000000</v>
      </c>
      <c r="C5" t="s">
        <v>20</v>
      </c>
      <c r="D5" s="5">
        <f>Instructions!C11</f>
        <v>9.9999999999999995E-7</v>
      </c>
      <c r="E5" s="8">
        <f>Table15[[#This Row],[Consumed]]*Table15[[#This Row],[Conversion Factor to MMBTU*]]</f>
        <v>624000</v>
      </c>
    </row>
    <row r="6" spans="1:6" x14ac:dyDescent="0.25">
      <c r="A6" t="s">
        <v>3</v>
      </c>
      <c r="B6" s="10">
        <v>560000</v>
      </c>
      <c r="C6" t="s">
        <v>21</v>
      </c>
      <c r="D6" s="5">
        <f>Instructions!C12</f>
        <v>0.13500000000000001</v>
      </c>
      <c r="E6" s="8">
        <f>Table15[[#This Row],[Consumed]]*Table15[[#This Row],[Conversion Factor to MMBTU*]]</f>
        <v>75600</v>
      </c>
    </row>
    <row r="7" spans="1:6" x14ac:dyDescent="0.25">
      <c r="A7" t="s">
        <v>4</v>
      </c>
      <c r="B7" s="10">
        <v>560000</v>
      </c>
      <c r="C7" t="s">
        <v>21</v>
      </c>
      <c r="D7" s="5">
        <f>Instructions!C13</f>
        <v>0.1386904761904762</v>
      </c>
      <c r="E7" s="8">
        <f>Table15[[#This Row],[Conversion Factor to MMBTU*]]*Table15[[#This Row],[Consumed]]</f>
        <v>77666.666666666672</v>
      </c>
    </row>
    <row r="8" spans="1:6" x14ac:dyDescent="0.25">
      <c r="A8" t="s">
        <v>5</v>
      </c>
      <c r="B8" s="10">
        <v>600</v>
      </c>
      <c r="C8" t="s">
        <v>21</v>
      </c>
      <c r="D8" s="5">
        <f>Instructions!C14</f>
        <v>9.1333333333333336E-2</v>
      </c>
      <c r="E8" s="8">
        <f>Table15[[#This Row],[Conversion Factor to MMBTU*]]*Table15[[#This Row],[Consumed]]</f>
        <v>54.800000000000004</v>
      </c>
    </row>
    <row r="9" spans="1:6" x14ac:dyDescent="0.25">
      <c r="A9" s="1" t="s">
        <v>6</v>
      </c>
      <c r="E9" s="9">
        <f>SUM(E4:E8)</f>
        <v>2483321.4666666663</v>
      </c>
    </row>
    <row r="10" spans="1:6" x14ac:dyDescent="0.25">
      <c r="A10" s="3" t="s">
        <v>26</v>
      </c>
      <c r="B10" s="3"/>
      <c r="C10" s="3"/>
      <c r="D10" s="3"/>
      <c r="E10" s="4"/>
    </row>
    <row r="12" spans="1:6" x14ac:dyDescent="0.25">
      <c r="A12" t="s">
        <v>67</v>
      </c>
    </row>
    <row r="13" spans="1:6" ht="31.5" x14ac:dyDescent="0.25">
      <c r="A13" s="35" t="s">
        <v>0</v>
      </c>
      <c r="B13" s="35" t="s">
        <v>22</v>
      </c>
      <c r="C13" s="35" t="s">
        <v>18</v>
      </c>
      <c r="D13" s="35" t="s">
        <v>12</v>
      </c>
      <c r="E13" s="35" t="s">
        <v>8</v>
      </c>
    </row>
    <row r="14" spans="1:6" x14ac:dyDescent="0.25">
      <c r="A14" t="s">
        <v>1</v>
      </c>
      <c r="B14" s="10">
        <v>450000000</v>
      </c>
      <c r="C14" t="s">
        <v>19</v>
      </c>
      <c r="D14" s="5">
        <f>D4</f>
        <v>3.4120000000000001E-3</v>
      </c>
      <c r="E14" s="8">
        <f>Table1511[[#This Row],[Conversion Factor to MMBTU*]]*Table1511[[#This Row],[Consumed]]</f>
        <v>1535400</v>
      </c>
    </row>
    <row r="15" spans="1:6" x14ac:dyDescent="0.25">
      <c r="A15" t="s">
        <v>2</v>
      </c>
      <c r="B15" s="10">
        <v>800000000000</v>
      </c>
      <c r="C15" t="s">
        <v>20</v>
      </c>
      <c r="D15" s="5">
        <f t="shared" ref="D15:D18" si="0">D5</f>
        <v>9.9999999999999995E-7</v>
      </c>
      <c r="E15" s="8">
        <f>Table1511[[#This Row],[Consumed]]*Table1511[[#This Row],[Conversion Factor to MMBTU*]]</f>
        <v>800000</v>
      </c>
    </row>
    <row r="16" spans="1:6" x14ac:dyDescent="0.25">
      <c r="A16" t="s">
        <v>3</v>
      </c>
      <c r="B16" s="10">
        <v>750000</v>
      </c>
      <c r="C16" t="s">
        <v>21</v>
      </c>
      <c r="D16" s="5">
        <f t="shared" si="0"/>
        <v>0.13500000000000001</v>
      </c>
      <c r="E16" s="8">
        <f>Table1511[[#This Row],[Consumed]]*Table1511[[#This Row],[Conversion Factor to MMBTU*]]</f>
        <v>101250</v>
      </c>
    </row>
    <row r="17" spans="1:13" x14ac:dyDescent="0.25">
      <c r="A17" t="s">
        <v>4</v>
      </c>
      <c r="B17" s="10">
        <v>750000</v>
      </c>
      <c r="C17" t="s">
        <v>21</v>
      </c>
      <c r="D17" s="5">
        <f t="shared" si="0"/>
        <v>0.1386904761904762</v>
      </c>
      <c r="E17" s="8">
        <f>Table1511[[#This Row],[Conversion Factor to MMBTU*]]*Table1511[[#This Row],[Consumed]]</f>
        <v>104017.85714285714</v>
      </c>
    </row>
    <row r="18" spans="1:13" x14ac:dyDescent="0.25">
      <c r="A18" t="s">
        <v>5</v>
      </c>
      <c r="B18" s="10">
        <v>750000</v>
      </c>
      <c r="C18" t="s">
        <v>21</v>
      </c>
      <c r="D18" s="5">
        <f t="shared" si="0"/>
        <v>9.1333333333333336E-2</v>
      </c>
      <c r="E18" s="8">
        <f>Table1511[[#This Row],[Conversion Factor to MMBTU*]]*Table1511[[#This Row],[Consumed]]</f>
        <v>68500</v>
      </c>
    </row>
    <row r="19" spans="1:13" x14ac:dyDescent="0.25">
      <c r="A19" s="1" t="s">
        <v>6</v>
      </c>
      <c r="E19" s="9">
        <f>SUM(E14:E18)</f>
        <v>2609167.8571428573</v>
      </c>
    </row>
    <row r="20" spans="1:13" ht="30" customHeight="1" x14ac:dyDescent="0.25">
      <c r="A20" s="3" t="str">
        <f>A10</f>
        <v>*Average values used as defaults. See Sources on Instruction Sheet</v>
      </c>
      <c r="B20" s="3"/>
      <c r="C20" s="3"/>
      <c r="D20" s="3"/>
      <c r="E20" s="4"/>
      <c r="G20" s="40" t="s">
        <v>47</v>
      </c>
      <c r="H20" s="40"/>
      <c r="I20" s="40"/>
    </row>
    <row r="21" spans="1:13" x14ac:dyDescent="0.25">
      <c r="G21" s="36" t="s">
        <v>13</v>
      </c>
      <c r="H21" s="36" t="s">
        <v>7</v>
      </c>
      <c r="I21" s="36" t="s">
        <v>25</v>
      </c>
    </row>
    <row r="22" spans="1:13" x14ac:dyDescent="0.25">
      <c r="A22" t="s">
        <v>45</v>
      </c>
      <c r="G22" t="s">
        <v>14</v>
      </c>
      <c r="H22" s="8">
        <f>E9</f>
        <v>2483321.4666666663</v>
      </c>
      <c r="I22" s="8">
        <f>Table914[[#This Row],[Total MMBtu]]/$H$26*100</f>
        <v>30.64154093037304</v>
      </c>
    </row>
    <row r="23" spans="1:13" ht="31.5" x14ac:dyDescent="0.25">
      <c r="A23" s="35" t="s">
        <v>0</v>
      </c>
      <c r="B23" s="35" t="s">
        <v>22</v>
      </c>
      <c r="C23" s="35" t="s">
        <v>18</v>
      </c>
      <c r="D23" s="35" t="s">
        <v>12</v>
      </c>
      <c r="E23" s="35" t="s">
        <v>8</v>
      </c>
      <c r="G23" t="s">
        <v>15</v>
      </c>
      <c r="H23" s="8">
        <f>E19</f>
        <v>2609167.8571428573</v>
      </c>
      <c r="I23" s="8">
        <f>Table914[[#This Row],[Total MMBtu]]/$H$26*100</f>
        <v>32.1943513000639</v>
      </c>
    </row>
    <row r="24" spans="1:13" x14ac:dyDescent="0.25">
      <c r="A24" t="s">
        <v>1</v>
      </c>
      <c r="B24" s="10">
        <v>500000000</v>
      </c>
      <c r="C24" t="s">
        <v>19</v>
      </c>
      <c r="D24" s="5">
        <f>D4</f>
        <v>3.4120000000000001E-3</v>
      </c>
      <c r="E24" s="8">
        <f>Table1512[[#This Row],[Conversion Factor to MMBTU*]]*Table1512[[#This Row],[Consumed]]</f>
        <v>1706000</v>
      </c>
      <c r="G24" t="s">
        <v>16</v>
      </c>
      <c r="H24" s="8">
        <f>E37</f>
        <v>629200</v>
      </c>
      <c r="I24" s="8">
        <f>Table914[[#This Row],[Total MMBtu]]/$H$26*100</f>
        <v>7.7636575901184388</v>
      </c>
    </row>
    <row r="25" spans="1:13" x14ac:dyDescent="0.25">
      <c r="A25" t="s">
        <v>2</v>
      </c>
      <c r="B25" s="10">
        <v>600000000000</v>
      </c>
      <c r="C25" t="s">
        <v>20</v>
      </c>
      <c r="D25" s="5">
        <f t="shared" ref="D25:D28" si="1">D5</f>
        <v>9.9999999999999995E-7</v>
      </c>
      <c r="E25" s="8">
        <f>Table1512[[#This Row],[Consumed]]*Table1512[[#This Row],[Conversion Factor to MMBTU*]]</f>
        <v>600000</v>
      </c>
      <c r="G25" t="s">
        <v>17</v>
      </c>
      <c r="H25" s="8">
        <f>E29</f>
        <v>2382738.1666666665</v>
      </c>
      <c r="I25" s="8">
        <f>Table914[[#This Row],[Total MMBtu]]/$H$26*100</f>
        <v>29.400450179444626</v>
      </c>
    </row>
    <row r="26" spans="1:13" x14ac:dyDescent="0.25">
      <c r="A26" t="s">
        <v>3</v>
      </c>
      <c r="B26" s="10">
        <v>500000</v>
      </c>
      <c r="C26" t="s">
        <v>21</v>
      </c>
      <c r="D26" s="5">
        <f t="shared" si="1"/>
        <v>0.13500000000000001</v>
      </c>
      <c r="E26" s="8">
        <f>Table1512[[#This Row],[Consumed]]*Table1512[[#This Row],[Conversion Factor to MMBTU*]]</f>
        <v>67500</v>
      </c>
      <c r="G26" t="s">
        <v>6</v>
      </c>
      <c r="H26" s="8">
        <f>SUM(H22:H25)</f>
        <v>8104427.4904761892</v>
      </c>
      <c r="I26" s="8">
        <f>Table914[[#This Row],[Total MMBtu]]/$H$26*100</f>
        <v>100</v>
      </c>
    </row>
    <row r="27" spans="1:13" x14ac:dyDescent="0.25">
      <c r="A27" t="s">
        <v>4</v>
      </c>
      <c r="B27" s="10">
        <v>35000</v>
      </c>
      <c r="C27" t="s">
        <v>21</v>
      </c>
      <c r="D27" s="5">
        <f t="shared" si="1"/>
        <v>0.1386904761904762</v>
      </c>
      <c r="E27" s="8">
        <f>Table1512[[#This Row],[Conversion Factor to MMBTU*]]*Table1512[[#This Row],[Consumed]]</f>
        <v>4854.166666666667</v>
      </c>
    </row>
    <row r="28" spans="1:13" x14ac:dyDescent="0.25">
      <c r="A28" t="s">
        <v>5</v>
      </c>
      <c r="B28" s="10">
        <v>48000</v>
      </c>
      <c r="C28" t="s">
        <v>21</v>
      </c>
      <c r="D28" s="5">
        <f t="shared" si="1"/>
        <v>9.1333333333333336E-2</v>
      </c>
      <c r="E28" s="8">
        <f>Table1512[[#This Row],[Conversion Factor to MMBTU*]]*Table1512[[#This Row],[Consumed]]</f>
        <v>4384</v>
      </c>
    </row>
    <row r="29" spans="1:13" x14ac:dyDescent="0.25">
      <c r="A29" s="1" t="s">
        <v>6</v>
      </c>
      <c r="E29" s="9">
        <f>SUM(E24:E28)</f>
        <v>2382738.1666666665</v>
      </c>
      <c r="G29" s="43" t="s">
        <v>68</v>
      </c>
      <c r="H29" s="43"/>
      <c r="I29" s="43"/>
      <c r="J29" s="43"/>
      <c r="K29" s="43"/>
      <c r="L29" s="43"/>
      <c r="M29" s="43"/>
    </row>
    <row r="30" spans="1:13" x14ac:dyDescent="0.25">
      <c r="A30" s="3" t="str">
        <f>A20</f>
        <v>*Average values used as defaults. See Sources on Instruction Sheet</v>
      </c>
      <c r="B30" s="3"/>
      <c r="C30" s="3"/>
      <c r="D30" s="3"/>
      <c r="E30" s="4"/>
      <c r="G30" s="37" t="s">
        <v>0</v>
      </c>
      <c r="H30" s="37" t="s">
        <v>14</v>
      </c>
      <c r="I30" s="37" t="s">
        <v>15</v>
      </c>
      <c r="J30" s="37" t="s">
        <v>17</v>
      </c>
      <c r="K30" s="37" t="s">
        <v>16</v>
      </c>
      <c r="L30" s="37" t="s">
        <v>6</v>
      </c>
      <c r="M30" s="37" t="s">
        <v>18</v>
      </c>
    </row>
    <row r="31" spans="1:13" x14ac:dyDescent="0.25">
      <c r="A31" s="3"/>
      <c r="B31" s="3"/>
      <c r="C31" s="3"/>
      <c r="D31" s="3"/>
      <c r="E31" s="4"/>
      <c r="G31" t="s">
        <v>1</v>
      </c>
      <c r="H31" s="8">
        <f>E4</f>
        <v>1706000</v>
      </c>
      <c r="I31" s="8">
        <f>E14</f>
        <v>1535400</v>
      </c>
      <c r="J31" s="8">
        <f>E24</f>
        <v>1706000</v>
      </c>
      <c r="K31" s="8">
        <v>0</v>
      </c>
      <c r="L31" s="8">
        <f>SUM(H31:K31)</f>
        <v>4947400</v>
      </c>
      <c r="M31" s="8" t="s">
        <v>19</v>
      </c>
    </row>
    <row r="32" spans="1:13" ht="27.95" customHeight="1" x14ac:dyDescent="0.25">
      <c r="A32" s="40" t="s">
        <v>46</v>
      </c>
      <c r="B32" s="40"/>
      <c r="C32" s="40"/>
      <c r="D32" s="40"/>
      <c r="G32" t="s">
        <v>43</v>
      </c>
      <c r="H32" s="8">
        <f t="shared" ref="H32:H35" si="2">E5</f>
        <v>624000</v>
      </c>
      <c r="I32" s="8">
        <f t="shared" ref="I32:I35" si="3">E15</f>
        <v>800000</v>
      </c>
      <c r="J32" s="8">
        <f t="shared" ref="J32:J35" si="4">E25</f>
        <v>600000</v>
      </c>
      <c r="K32" s="8">
        <f>E36</f>
        <v>200</v>
      </c>
      <c r="L32" s="8">
        <f t="shared" ref="L32:L37" si="5">SUM(H32:K32)</f>
        <v>2024200</v>
      </c>
      <c r="M32" s="8" t="s">
        <v>20</v>
      </c>
    </row>
    <row r="33" spans="1:13" ht="29.1" customHeight="1" x14ac:dyDescent="0.25">
      <c r="A33" s="35" t="s">
        <v>0</v>
      </c>
      <c r="B33" s="35" t="s">
        <v>22</v>
      </c>
      <c r="C33" s="38" t="s">
        <v>18</v>
      </c>
      <c r="D33" s="35" t="s">
        <v>12</v>
      </c>
      <c r="E33" s="35" t="s">
        <v>8</v>
      </c>
      <c r="G33" t="s">
        <v>3</v>
      </c>
      <c r="H33" s="8">
        <f t="shared" si="2"/>
        <v>75600</v>
      </c>
      <c r="I33" s="8">
        <f t="shared" si="3"/>
        <v>101250</v>
      </c>
      <c r="J33" s="8">
        <f t="shared" si="4"/>
        <v>67500</v>
      </c>
      <c r="K33" s="8">
        <v>0</v>
      </c>
      <c r="L33" s="8">
        <f t="shared" si="5"/>
        <v>244350</v>
      </c>
      <c r="M33" s="8" t="s">
        <v>21</v>
      </c>
    </row>
    <row r="34" spans="1:13" x14ac:dyDescent="0.25">
      <c r="A34" t="s">
        <v>10</v>
      </c>
      <c r="B34" s="10">
        <v>4000000</v>
      </c>
      <c r="C34" t="s">
        <v>21</v>
      </c>
      <c r="D34" s="12">
        <f>Instructions!C15</f>
        <v>0.125</v>
      </c>
      <c r="E34" s="8">
        <f>Table16[[#This Row],[Conversion Factor to MMBTU*]]*Table16[[#This Row],[Consumed]]</f>
        <v>500000</v>
      </c>
      <c r="G34" t="s">
        <v>23</v>
      </c>
      <c r="H34" s="8">
        <f t="shared" si="2"/>
        <v>77666.666666666672</v>
      </c>
      <c r="I34" s="8">
        <f t="shared" si="3"/>
        <v>104017.85714285714</v>
      </c>
      <c r="J34" s="8">
        <f t="shared" si="4"/>
        <v>4854.166666666667</v>
      </c>
      <c r="K34" s="8">
        <v>0</v>
      </c>
      <c r="L34" s="8">
        <f t="shared" si="5"/>
        <v>186538.69047619047</v>
      </c>
      <c r="M34" s="8" t="s">
        <v>21</v>
      </c>
    </row>
    <row r="35" spans="1:13" x14ac:dyDescent="0.25">
      <c r="A35" t="s">
        <v>9</v>
      </c>
      <c r="B35" s="10">
        <v>1000000</v>
      </c>
      <c r="C35" t="s">
        <v>21</v>
      </c>
      <c r="D35">
        <f>Instructions!C16</f>
        <v>0.129</v>
      </c>
      <c r="E35" s="8">
        <f>Table16[[#This Row],[Conversion Factor to MMBTU*]]*Table16[[#This Row],[Consumed]]</f>
        <v>129000</v>
      </c>
      <c r="G35" t="s">
        <v>5</v>
      </c>
      <c r="H35" s="8">
        <f t="shared" si="2"/>
        <v>54.800000000000004</v>
      </c>
      <c r="I35" s="8">
        <f t="shared" si="3"/>
        <v>68500</v>
      </c>
      <c r="J35" s="8">
        <f t="shared" si="4"/>
        <v>4384</v>
      </c>
      <c r="K35" s="8">
        <v>0</v>
      </c>
      <c r="L35" s="8">
        <f t="shared" si="5"/>
        <v>72938.8</v>
      </c>
      <c r="M35" s="8" t="s">
        <v>21</v>
      </c>
    </row>
    <row r="36" spans="1:13" x14ac:dyDescent="0.25">
      <c r="A36" t="s">
        <v>11</v>
      </c>
      <c r="B36" s="10">
        <v>5000</v>
      </c>
      <c r="C36" t="s">
        <v>21</v>
      </c>
      <c r="D36" s="6">
        <f>Instructions!C17</f>
        <v>0.04</v>
      </c>
      <c r="E36" s="8">
        <f>Table16[[#This Row],[Conversion Factor to MMBTU*]]*Table16[[#This Row],[Consumed]]</f>
        <v>200</v>
      </c>
      <c r="G36" t="s">
        <v>10</v>
      </c>
      <c r="H36" s="8">
        <v>0</v>
      </c>
      <c r="I36" s="8">
        <v>0</v>
      </c>
      <c r="J36" s="8">
        <v>0</v>
      </c>
      <c r="K36" s="8">
        <f>E34</f>
        <v>500000</v>
      </c>
      <c r="L36" s="8">
        <f t="shared" si="5"/>
        <v>500000</v>
      </c>
      <c r="M36" s="8" t="s">
        <v>21</v>
      </c>
    </row>
    <row r="37" spans="1:13" x14ac:dyDescent="0.25">
      <c r="A37" s="1" t="s">
        <v>6</v>
      </c>
      <c r="D37" s="18">
        <f>Instructions!C18</f>
        <v>0</v>
      </c>
      <c r="E37" s="9">
        <f>SUM(E34:E36)</f>
        <v>629200</v>
      </c>
      <c r="G37" t="s">
        <v>24</v>
      </c>
      <c r="H37" s="8">
        <v>0</v>
      </c>
      <c r="I37" s="8">
        <v>0</v>
      </c>
      <c r="J37" s="8">
        <v>0</v>
      </c>
      <c r="K37" s="8">
        <f>E35</f>
        <v>129000</v>
      </c>
      <c r="L37" s="8">
        <f t="shared" si="5"/>
        <v>129000</v>
      </c>
      <c r="M37" s="8" t="s">
        <v>21</v>
      </c>
    </row>
    <row r="38" spans="1:13" x14ac:dyDescent="0.25">
      <c r="A38" s="3" t="str">
        <f>A10</f>
        <v>*Average values used as defaults. See Sources on Instruction Sheet</v>
      </c>
      <c r="B38" s="3"/>
      <c r="C38" s="3"/>
      <c r="D38" s="4">
        <f>Instructions!C19</f>
        <v>0</v>
      </c>
      <c r="H38" s="8"/>
      <c r="I38" s="8"/>
      <c r="J38" s="8"/>
      <c r="K38" s="8"/>
      <c r="L38" s="8"/>
      <c r="M38" s="8"/>
    </row>
  </sheetData>
  <mergeCells count="3">
    <mergeCell ref="G20:I20"/>
    <mergeCell ref="A32:D32"/>
    <mergeCell ref="G29:M29"/>
  </mergeCells>
  <phoneticPr fontId="5" type="noConversion"/>
  <pageMargins left="0.75" right="0.75" top="1" bottom="1" header="0.5" footer="0.5"/>
  <pageSetup scale="95" orientation="portrait" horizontalDpi="4294967292" verticalDpi="4294967292"/>
  <headerFooter>
    <oddHeader>&amp;C&amp;"Calibri,Regular"&amp;K000000US Department of Energy _x000D_Clean Energy Strategic Planning Academy Enery Profiling Worksheet_x000D_9/12/11</oddHeader>
    <oddFooter>&amp;C&amp;"Calibri,Regular"&amp;K000000Developed by the National Renewable Energy Laboratory</oddFooter>
  </headerFooter>
  <rowBreaks count="1" manualBreakCount="1">
    <brk id="38" max="16383" man="1"/>
  </rowBreaks>
  <drawing r:id="rId1"/>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F27" activeCellId="4" sqref="B22:C22 B12:C12 B3:C3 F20:H20 F27:J27"/>
    </sheetView>
  </sheetViews>
  <sheetFormatPr defaultColWidth="11" defaultRowHeight="15.75" x14ac:dyDescent="0.25"/>
  <cols>
    <col min="1" max="1" width="9.5" customWidth="1"/>
    <col min="2" max="2" width="14.875" customWidth="1"/>
    <col min="3" max="3" width="16.875" customWidth="1"/>
    <col min="4" max="4" width="19.125" customWidth="1"/>
    <col min="5" max="5" width="18.375" customWidth="1"/>
    <col min="6" max="6" width="19.875" customWidth="1"/>
    <col min="7" max="7" width="16.375" customWidth="1"/>
    <col min="8" max="8" width="14.125" customWidth="1"/>
    <col min="9" max="9" width="14.625" customWidth="1"/>
    <col min="10" max="10" width="12.875" customWidth="1"/>
    <col min="11" max="11" width="11.875" customWidth="1"/>
    <col min="12" max="12" width="9.5" customWidth="1"/>
  </cols>
  <sheetData>
    <row r="1" spans="1:3" ht="18.75" x14ac:dyDescent="0.25">
      <c r="A1" s="34" t="s">
        <v>72</v>
      </c>
    </row>
    <row r="2" spans="1:3" x14ac:dyDescent="0.25">
      <c r="A2" t="s">
        <v>55</v>
      </c>
    </row>
    <row r="3" spans="1:3" x14ac:dyDescent="0.25">
      <c r="B3" s="35" t="s">
        <v>0</v>
      </c>
      <c r="C3" s="35" t="s">
        <v>54</v>
      </c>
    </row>
    <row r="4" spans="1:3" s="2" customFormat="1" x14ac:dyDescent="0.25">
      <c r="B4" t="s">
        <v>1</v>
      </c>
      <c r="C4" s="20">
        <f>+Table152[[#This Row],[Consumed]]*0.15</f>
        <v>123750</v>
      </c>
    </row>
    <row r="5" spans="1:3" x14ac:dyDescent="0.25">
      <c r="B5" t="s">
        <v>2</v>
      </c>
      <c r="C5" s="20">
        <f>+Table152[[#This Row],[Total MMBtu (Calculated)]]*80</f>
        <v>200000</v>
      </c>
    </row>
    <row r="6" spans="1:3" x14ac:dyDescent="0.25">
      <c r="B6" t="s">
        <v>3</v>
      </c>
      <c r="C6" s="20">
        <f>+Table152[[#This Row],[Consumed]]*4</f>
        <v>100000</v>
      </c>
    </row>
    <row r="7" spans="1:3" x14ac:dyDescent="0.25">
      <c r="B7" t="s">
        <v>4</v>
      </c>
      <c r="C7" s="20">
        <f>+Table152[[#This Row],[Consumed]]*4</f>
        <v>100000</v>
      </c>
    </row>
    <row r="8" spans="1:3" x14ac:dyDescent="0.25">
      <c r="B8" t="s">
        <v>5</v>
      </c>
      <c r="C8" s="20">
        <f>+Table152[[#This Row],[Consumed]]*4</f>
        <v>100000</v>
      </c>
    </row>
    <row r="9" spans="1:3" x14ac:dyDescent="0.25">
      <c r="B9" s="1" t="s">
        <v>6</v>
      </c>
      <c r="C9" s="22">
        <f>SUM(C4:C8)</f>
        <v>623750</v>
      </c>
    </row>
    <row r="10" spans="1:3" x14ac:dyDescent="0.25">
      <c r="B10" s="21"/>
    </row>
    <row r="11" spans="1:3" x14ac:dyDescent="0.25">
      <c r="A11" t="s">
        <v>56</v>
      </c>
      <c r="B11" s="21"/>
    </row>
    <row r="12" spans="1:3" x14ac:dyDescent="0.25">
      <c r="B12" s="35" t="s">
        <v>0</v>
      </c>
      <c r="C12" s="39" t="s">
        <v>54</v>
      </c>
    </row>
    <row r="13" spans="1:3" x14ac:dyDescent="0.25">
      <c r="B13" t="s">
        <v>1</v>
      </c>
      <c r="C13" s="20">
        <v>0</v>
      </c>
    </row>
    <row r="14" spans="1:3" x14ac:dyDescent="0.25">
      <c r="B14" t="s">
        <v>2</v>
      </c>
      <c r="C14" s="20">
        <v>0</v>
      </c>
    </row>
    <row r="15" spans="1:3" x14ac:dyDescent="0.25">
      <c r="B15" t="s">
        <v>3</v>
      </c>
      <c r="C15" s="20">
        <v>0</v>
      </c>
    </row>
    <row r="16" spans="1:3" x14ac:dyDescent="0.25">
      <c r="B16" t="s">
        <v>4</v>
      </c>
      <c r="C16" s="20">
        <v>0</v>
      </c>
    </row>
    <row r="17" spans="1:11" x14ac:dyDescent="0.25">
      <c r="B17" t="s">
        <v>5</v>
      </c>
      <c r="C17" s="20">
        <v>0</v>
      </c>
    </row>
    <row r="18" spans="1:11" x14ac:dyDescent="0.25">
      <c r="B18" s="1" t="s">
        <v>6</v>
      </c>
      <c r="C18" s="22">
        <f>SUM(C13:C17)</f>
        <v>0</v>
      </c>
    </row>
    <row r="19" spans="1:11" ht="15.75" customHeight="1" x14ac:dyDescent="0.25">
      <c r="A19" s="1"/>
      <c r="B19" s="9"/>
      <c r="F19" s="43" t="s">
        <v>57</v>
      </c>
      <c r="G19" s="43"/>
      <c r="H19" s="43"/>
      <c r="I19" s="43"/>
      <c r="J19" s="43"/>
    </row>
    <row r="20" spans="1:11" x14ac:dyDescent="0.25">
      <c r="F20" s="36" t="s">
        <v>13</v>
      </c>
      <c r="G20" s="36" t="s">
        <v>52</v>
      </c>
      <c r="H20" s="36" t="s">
        <v>25</v>
      </c>
    </row>
    <row r="21" spans="1:11" ht="15.75" customHeight="1" x14ac:dyDescent="0.25">
      <c r="A21" s="42" t="s">
        <v>58</v>
      </c>
      <c r="B21" s="42"/>
      <c r="C21" s="42"/>
      <c r="D21" s="42"/>
      <c r="E21" s="42"/>
      <c r="F21" t="s">
        <v>39</v>
      </c>
      <c r="G21" s="23">
        <f>C9</f>
        <v>623750</v>
      </c>
      <c r="H21" s="8">
        <f>Table914815[[#This Row],[Total Cost]]/$G$24*100</f>
        <v>59.193357058125741</v>
      </c>
    </row>
    <row r="22" spans="1:11" x14ac:dyDescent="0.25">
      <c r="B22" s="35" t="s">
        <v>0</v>
      </c>
      <c r="C22" s="35" t="s">
        <v>52</v>
      </c>
      <c r="F22" t="s">
        <v>40</v>
      </c>
      <c r="G22" s="23">
        <f>C18</f>
        <v>0</v>
      </c>
      <c r="H22" s="8">
        <f>Table914815[[#This Row],[Total Cost]]/$G$24*100</f>
        <v>0</v>
      </c>
    </row>
    <row r="23" spans="1:11" x14ac:dyDescent="0.25">
      <c r="B23" t="s">
        <v>10</v>
      </c>
      <c r="C23" s="20">
        <f>+'Government Energy InputOutput'!B24*3.5</f>
        <v>175000</v>
      </c>
      <c r="F23" t="s">
        <v>16</v>
      </c>
      <c r="G23" s="23">
        <f>C26</f>
        <v>430000</v>
      </c>
      <c r="H23" s="8">
        <f>Table914815[[#This Row],[Total Cost]]/$G$24*100</f>
        <v>40.806642941874259</v>
      </c>
    </row>
    <row r="24" spans="1:11" x14ac:dyDescent="0.25">
      <c r="B24" t="s">
        <v>9</v>
      </c>
      <c r="C24" s="20">
        <f>+'Government Energy InputOutput'!B25*3.5</f>
        <v>175000</v>
      </c>
      <c r="F24" s="24" t="s">
        <v>6</v>
      </c>
      <c r="G24" s="25">
        <f>SUM(G21:G23)</f>
        <v>1053750</v>
      </c>
      <c r="H24" s="9">
        <f>Table914815[[#This Row],[Total Cost]]/$G$24*100</f>
        <v>100</v>
      </c>
      <c r="K24" t="s">
        <v>41</v>
      </c>
    </row>
    <row r="25" spans="1:11" x14ac:dyDescent="0.25">
      <c r="B25" t="s">
        <v>11</v>
      </c>
      <c r="C25" s="20">
        <f>+'Government Energy InputOutput'!B26*8</f>
        <v>80000</v>
      </c>
    </row>
    <row r="26" spans="1:11" x14ac:dyDescent="0.25">
      <c r="B26" s="1" t="s">
        <v>6</v>
      </c>
      <c r="C26" s="22">
        <f>SUM(C23:C25)</f>
        <v>430000</v>
      </c>
      <c r="F26" s="41" t="s">
        <v>60</v>
      </c>
      <c r="G26" s="41"/>
      <c r="H26" s="41"/>
      <c r="I26" s="41"/>
      <c r="J26" s="41"/>
      <c r="K26" s="41"/>
    </row>
    <row r="27" spans="1:11" x14ac:dyDescent="0.25">
      <c r="F27" s="37" t="s">
        <v>0</v>
      </c>
      <c r="G27" s="37" t="s">
        <v>39</v>
      </c>
      <c r="H27" s="37" t="s">
        <v>40</v>
      </c>
      <c r="I27" s="37" t="s">
        <v>16</v>
      </c>
      <c r="J27" s="37" t="s">
        <v>6</v>
      </c>
    </row>
    <row r="28" spans="1:11" x14ac:dyDescent="0.25">
      <c r="F28" t="s">
        <v>1</v>
      </c>
      <c r="G28" s="23">
        <f>C4</f>
        <v>123750</v>
      </c>
      <c r="H28" s="23">
        <f>C13</f>
        <v>0</v>
      </c>
      <c r="I28" s="23">
        <v>0</v>
      </c>
      <c r="J28" s="25">
        <f t="shared" ref="J28:J34" si="0">SUM(G28:I28)</f>
        <v>123750</v>
      </c>
    </row>
    <row r="29" spans="1:11" x14ac:dyDescent="0.25">
      <c r="F29" t="s">
        <v>43</v>
      </c>
      <c r="G29" s="23">
        <f>C5</f>
        <v>200000</v>
      </c>
      <c r="H29" s="23">
        <f>C14</f>
        <v>0</v>
      </c>
      <c r="I29" s="23">
        <f>C25</f>
        <v>80000</v>
      </c>
      <c r="J29" s="25">
        <f t="shared" si="0"/>
        <v>280000</v>
      </c>
    </row>
    <row r="30" spans="1:11" x14ac:dyDescent="0.25">
      <c r="F30" t="s">
        <v>3</v>
      </c>
      <c r="G30" s="23">
        <f>C6</f>
        <v>100000</v>
      </c>
      <c r="H30" s="23">
        <f>C15</f>
        <v>0</v>
      </c>
      <c r="I30" s="23">
        <v>0</v>
      </c>
      <c r="J30" s="25">
        <f t="shared" si="0"/>
        <v>100000</v>
      </c>
    </row>
    <row r="31" spans="1:11" ht="27.95" customHeight="1" x14ac:dyDescent="0.25">
      <c r="F31" t="s">
        <v>23</v>
      </c>
      <c r="G31" s="23">
        <f>C7</f>
        <v>100000</v>
      </c>
      <c r="H31" s="23">
        <f>C16</f>
        <v>0</v>
      </c>
      <c r="I31" s="23">
        <v>0</v>
      </c>
      <c r="J31" s="25">
        <f t="shared" si="0"/>
        <v>100000</v>
      </c>
    </row>
    <row r="32" spans="1:11" ht="29.1" customHeight="1" x14ac:dyDescent="0.25">
      <c r="F32" t="s">
        <v>5</v>
      </c>
      <c r="G32" s="23">
        <f>C8</f>
        <v>100000</v>
      </c>
      <c r="H32" s="23">
        <f>C17</f>
        <v>0</v>
      </c>
      <c r="I32" s="23">
        <v>0</v>
      </c>
      <c r="J32" s="25">
        <f t="shared" si="0"/>
        <v>100000</v>
      </c>
    </row>
    <row r="33" spans="6:10" x14ac:dyDescent="0.25">
      <c r="F33" t="s">
        <v>10</v>
      </c>
      <c r="G33" s="23">
        <v>0</v>
      </c>
      <c r="H33" s="23">
        <v>0</v>
      </c>
      <c r="I33" s="23">
        <f>C23</f>
        <v>175000</v>
      </c>
      <c r="J33" s="25">
        <f t="shared" si="0"/>
        <v>175000</v>
      </c>
    </row>
    <row r="34" spans="6:10" x14ac:dyDescent="0.25">
      <c r="F34" t="s">
        <v>24</v>
      </c>
      <c r="G34" s="23">
        <v>0</v>
      </c>
      <c r="H34" s="23">
        <v>0</v>
      </c>
      <c r="I34" s="23">
        <f>C24</f>
        <v>175000</v>
      </c>
      <c r="J34" s="25">
        <f t="shared" si="0"/>
        <v>175000</v>
      </c>
    </row>
  </sheetData>
  <mergeCells count="3">
    <mergeCell ref="A21:E21"/>
    <mergeCell ref="F26:K26"/>
    <mergeCell ref="F19:J19"/>
  </mergeCells>
  <pageMargins left="0.75" right="0.75" top="1" bottom="1" header="0.5" footer="0.5"/>
  <pageSetup scale="95" orientation="portrait" horizontalDpi="4294967292" verticalDpi="4294967292" r:id="rId1"/>
  <headerFooter>
    <oddHeader>&amp;C&amp;"Calibri,Regular"&amp;K000000US Department of Energy _x000D_Clean Energy Strategic Planning Academy Enery Profiling Worksheet_x000D_9/12/11</oddHeader>
    <oddFooter>&amp;C&amp;"Calibri,Regular"&amp;K000000Developed by the National Renewable Energy Laboratory</oddFooter>
  </headerFooter>
  <rowBreaks count="1" manualBreakCount="1">
    <brk id="37" max="16383" man="1"/>
  </rowBreaks>
  <ignoredErrors>
    <ignoredError sqref="C9"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39" sqref="A39"/>
    </sheetView>
  </sheetViews>
  <sheetFormatPr defaultColWidth="11" defaultRowHeight="15.75" x14ac:dyDescent="0.25"/>
  <cols>
    <col min="1" max="1" width="16.625" customWidth="1"/>
    <col min="2" max="3" width="17.75" customWidth="1"/>
    <col min="4" max="4" width="19.125" customWidth="1"/>
    <col min="5" max="5" width="18.375" customWidth="1"/>
    <col min="6" max="6" width="19.75" customWidth="1"/>
    <col min="7" max="7" width="15.375" customWidth="1"/>
    <col min="8" max="11" width="13.75" customWidth="1"/>
    <col min="12" max="12" width="9.5" customWidth="1"/>
  </cols>
  <sheetData>
    <row r="1" spans="1:3" ht="18.75" x14ac:dyDescent="0.25">
      <c r="A1" s="34" t="s">
        <v>73</v>
      </c>
    </row>
    <row r="2" spans="1:3" x14ac:dyDescent="0.25">
      <c r="A2" t="s">
        <v>59</v>
      </c>
    </row>
    <row r="3" spans="1:3" x14ac:dyDescent="0.25">
      <c r="B3" s="35" t="s">
        <v>0</v>
      </c>
      <c r="C3" s="35" t="s">
        <v>52</v>
      </c>
    </row>
    <row r="4" spans="1:3" s="2" customFormat="1" x14ac:dyDescent="0.25">
      <c r="B4" t="s">
        <v>1</v>
      </c>
      <c r="C4" s="20">
        <v>2222</v>
      </c>
    </row>
    <row r="5" spans="1:3" x14ac:dyDescent="0.25">
      <c r="B5" t="s">
        <v>2</v>
      </c>
      <c r="C5" s="20">
        <v>3333</v>
      </c>
    </row>
    <row r="6" spans="1:3" x14ac:dyDescent="0.25">
      <c r="B6" t="s">
        <v>3</v>
      </c>
      <c r="C6" s="20">
        <v>5555</v>
      </c>
    </row>
    <row r="7" spans="1:3" x14ac:dyDescent="0.25">
      <c r="B7" t="s">
        <v>4</v>
      </c>
      <c r="C7" s="20">
        <v>4444</v>
      </c>
    </row>
    <row r="8" spans="1:3" x14ac:dyDescent="0.25">
      <c r="B8" t="s">
        <v>5</v>
      </c>
      <c r="C8" s="20">
        <v>7777777</v>
      </c>
    </row>
    <row r="9" spans="1:3" x14ac:dyDescent="0.25">
      <c r="B9" s="1" t="s">
        <v>6</v>
      </c>
      <c r="C9" s="25">
        <f>SUM(C4:C8)</f>
        <v>7793331</v>
      </c>
    </row>
    <row r="11" spans="1:3" x14ac:dyDescent="0.25">
      <c r="A11" t="s">
        <v>61</v>
      </c>
    </row>
    <row r="12" spans="1:3" x14ac:dyDescent="0.25">
      <c r="B12" s="35" t="s">
        <v>0</v>
      </c>
      <c r="C12" s="35" t="s">
        <v>52</v>
      </c>
    </row>
    <row r="13" spans="1:3" x14ac:dyDescent="0.25">
      <c r="B13" t="s">
        <v>1</v>
      </c>
      <c r="C13" s="20">
        <v>12990</v>
      </c>
    </row>
    <row r="14" spans="1:3" x14ac:dyDescent="0.25">
      <c r="B14" t="s">
        <v>2</v>
      </c>
      <c r="C14" s="20">
        <v>3395877</v>
      </c>
    </row>
    <row r="15" spans="1:3" x14ac:dyDescent="0.25">
      <c r="B15" t="s">
        <v>3</v>
      </c>
      <c r="C15" s="20">
        <v>465769</v>
      </c>
    </row>
    <row r="16" spans="1:3" x14ac:dyDescent="0.25">
      <c r="B16" t="s">
        <v>4</v>
      </c>
      <c r="C16" s="20">
        <v>23333</v>
      </c>
    </row>
    <row r="17" spans="1:12" x14ac:dyDescent="0.25">
      <c r="B17" t="s">
        <v>5</v>
      </c>
      <c r="C17" s="20">
        <v>120000</v>
      </c>
    </row>
    <row r="18" spans="1:12" x14ac:dyDescent="0.25">
      <c r="B18" s="1" t="s">
        <v>6</v>
      </c>
      <c r="C18" s="25">
        <f>SUM(C13:C17)</f>
        <v>4017969</v>
      </c>
    </row>
    <row r="19" spans="1:12" ht="15.75" customHeight="1" x14ac:dyDescent="0.25">
      <c r="F19" s="43" t="s">
        <v>64</v>
      </c>
      <c r="G19" s="43"/>
      <c r="H19" s="43"/>
      <c r="I19" s="43"/>
      <c r="J19" s="43"/>
    </row>
    <row r="20" spans="1:12" x14ac:dyDescent="0.25">
      <c r="A20" t="s">
        <v>62</v>
      </c>
      <c r="F20" s="36" t="s">
        <v>13</v>
      </c>
      <c r="G20" s="36" t="s">
        <v>52</v>
      </c>
      <c r="H20" s="36" t="s">
        <v>25</v>
      </c>
    </row>
    <row r="21" spans="1:12" x14ac:dyDescent="0.25">
      <c r="B21" s="35" t="s">
        <v>0</v>
      </c>
      <c r="C21" s="35" t="s">
        <v>52</v>
      </c>
      <c r="F21" t="s">
        <v>14</v>
      </c>
      <c r="G21" s="23">
        <f>C9</f>
        <v>7793331</v>
      </c>
      <c r="H21" s="23">
        <f>Table91423[[#This Row],[Total Cost]]/$G$25*100</f>
        <v>45.970608138239363</v>
      </c>
    </row>
    <row r="22" spans="1:12" x14ac:dyDescent="0.25">
      <c r="B22" t="s">
        <v>1</v>
      </c>
      <c r="C22" s="20">
        <v>232444</v>
      </c>
      <c r="F22" t="s">
        <v>15</v>
      </c>
      <c r="G22" s="23">
        <f>C18</f>
        <v>4017969</v>
      </c>
      <c r="H22" s="23">
        <f>Table91423[[#This Row],[Total Cost]]/$G$25*100</f>
        <v>23.700838372012363</v>
      </c>
    </row>
    <row r="23" spans="1:12" x14ac:dyDescent="0.25">
      <c r="B23" t="s">
        <v>2</v>
      </c>
      <c r="C23" s="20">
        <v>0</v>
      </c>
      <c r="F23" t="s">
        <v>16</v>
      </c>
      <c r="G23" s="23">
        <f>C34</f>
        <v>464646</v>
      </c>
      <c r="H23" s="23">
        <f>Table91423[[#This Row],[Total Cost]]/$G$25*100</f>
        <v>2.7408125215008021</v>
      </c>
    </row>
    <row r="24" spans="1:12" x14ac:dyDescent="0.25">
      <c r="B24" t="s">
        <v>3</v>
      </c>
      <c r="C24" s="20">
        <v>4444466</v>
      </c>
      <c r="F24" t="s">
        <v>17</v>
      </c>
      <c r="G24" s="23">
        <f>C27</f>
        <v>4676910</v>
      </c>
      <c r="H24" s="23">
        <f>Table91423[[#This Row],[Total Cost]]/$G$25*100</f>
        <v>27.587740968247477</v>
      </c>
    </row>
    <row r="25" spans="1:12" x14ac:dyDescent="0.25">
      <c r="B25" t="s">
        <v>4</v>
      </c>
      <c r="C25" s="20">
        <v>0</v>
      </c>
      <c r="F25" s="24" t="s">
        <v>6</v>
      </c>
      <c r="G25" s="25">
        <f>SUM(G21:G24)</f>
        <v>16952856</v>
      </c>
      <c r="H25" s="25">
        <f>Table91423[[#This Row],[Total Cost]]/$G$25*100</f>
        <v>100</v>
      </c>
    </row>
    <row r="26" spans="1:12" x14ac:dyDescent="0.25">
      <c r="B26" t="s">
        <v>5</v>
      </c>
      <c r="C26" s="20">
        <v>0</v>
      </c>
    </row>
    <row r="27" spans="1:12" x14ac:dyDescent="0.25">
      <c r="B27" s="1" t="s">
        <v>6</v>
      </c>
      <c r="C27" s="25">
        <f>SUM(C22:C26)</f>
        <v>4676910</v>
      </c>
      <c r="F27" s="43" t="s">
        <v>65</v>
      </c>
      <c r="G27" s="43"/>
      <c r="H27" s="43"/>
      <c r="I27" s="43"/>
      <c r="J27" s="43"/>
      <c r="K27" s="43"/>
      <c r="L27" s="43"/>
    </row>
    <row r="28" spans="1:12" x14ac:dyDescent="0.25">
      <c r="A28" s="3"/>
      <c r="B28" s="3"/>
      <c r="C28" s="3"/>
      <c r="D28" s="3"/>
      <c r="E28" s="4"/>
      <c r="F28" s="37" t="s">
        <v>0</v>
      </c>
      <c r="G28" s="37" t="s">
        <v>14</v>
      </c>
      <c r="H28" s="37" t="s">
        <v>15</v>
      </c>
      <c r="I28" s="37" t="s">
        <v>17</v>
      </c>
      <c r="J28" s="37" t="s">
        <v>16</v>
      </c>
      <c r="K28" s="37" t="s">
        <v>52</v>
      </c>
    </row>
    <row r="29" spans="1:12" x14ac:dyDescent="0.25">
      <c r="A29" s="43" t="s">
        <v>63</v>
      </c>
      <c r="B29" s="43"/>
      <c r="C29" s="43"/>
      <c r="D29" s="43"/>
      <c r="E29" s="43"/>
      <c r="F29" t="s">
        <v>1</v>
      </c>
      <c r="G29" s="23">
        <f>C4</f>
        <v>2222</v>
      </c>
      <c r="H29" s="23">
        <f>C13</f>
        <v>12990</v>
      </c>
      <c r="I29" s="23">
        <f>C22</f>
        <v>232444</v>
      </c>
      <c r="J29" s="23">
        <v>0</v>
      </c>
      <c r="K29" s="25">
        <f>SUM(G29:J29)</f>
        <v>247656</v>
      </c>
    </row>
    <row r="30" spans="1:12" ht="29.1" customHeight="1" x14ac:dyDescent="0.25">
      <c r="B30" s="35" t="s">
        <v>0</v>
      </c>
      <c r="C30" s="35" t="s">
        <v>52</v>
      </c>
      <c r="F30" t="s">
        <v>43</v>
      </c>
      <c r="G30" s="23">
        <f>C5</f>
        <v>3333</v>
      </c>
      <c r="H30" s="23">
        <f>C14</f>
        <v>3395877</v>
      </c>
      <c r="I30" s="23">
        <f>C23</f>
        <v>0</v>
      </c>
      <c r="J30" s="23">
        <f>C33</f>
        <v>343434</v>
      </c>
      <c r="K30" s="25">
        <f t="shared" ref="K30:K35" si="0">SUM(G30:J30)</f>
        <v>3742644</v>
      </c>
    </row>
    <row r="31" spans="1:12" x14ac:dyDescent="0.25">
      <c r="B31" t="s">
        <v>10</v>
      </c>
      <c r="C31" s="20">
        <v>0</v>
      </c>
      <c r="F31" t="s">
        <v>3</v>
      </c>
      <c r="G31" s="23">
        <f>C6</f>
        <v>5555</v>
      </c>
      <c r="H31" s="23">
        <f>C15</f>
        <v>465769</v>
      </c>
      <c r="I31" s="23">
        <f>C24</f>
        <v>4444466</v>
      </c>
      <c r="J31" s="23">
        <v>0</v>
      </c>
      <c r="K31" s="25">
        <f t="shared" si="0"/>
        <v>4915790</v>
      </c>
    </row>
    <row r="32" spans="1:12" x14ac:dyDescent="0.25">
      <c r="B32" t="s">
        <v>9</v>
      </c>
      <c r="C32" s="20">
        <v>121212</v>
      </c>
      <c r="F32" t="s">
        <v>23</v>
      </c>
      <c r="G32" s="23">
        <f>C7</f>
        <v>4444</v>
      </c>
      <c r="H32" s="23">
        <f>C16</f>
        <v>23333</v>
      </c>
      <c r="I32" s="23">
        <f>C25</f>
        <v>0</v>
      </c>
      <c r="J32" s="23">
        <v>0</v>
      </c>
      <c r="K32" s="25">
        <f t="shared" si="0"/>
        <v>27777</v>
      </c>
    </row>
    <row r="33" spans="2:12" x14ac:dyDescent="0.25">
      <c r="B33" t="s">
        <v>11</v>
      </c>
      <c r="C33" s="20">
        <v>343434</v>
      </c>
      <c r="F33" t="s">
        <v>5</v>
      </c>
      <c r="G33" s="23">
        <f>C8</f>
        <v>7777777</v>
      </c>
      <c r="H33" s="23">
        <f>C17</f>
        <v>120000</v>
      </c>
      <c r="I33" s="23">
        <f>C26</f>
        <v>0</v>
      </c>
      <c r="J33" s="23">
        <v>0</v>
      </c>
      <c r="K33" s="25">
        <f t="shared" si="0"/>
        <v>7897777</v>
      </c>
    </row>
    <row r="34" spans="2:12" x14ac:dyDescent="0.25">
      <c r="B34" s="1" t="s">
        <v>6</v>
      </c>
      <c r="C34" s="25">
        <f>SUM(C31:C33)</f>
        <v>464646</v>
      </c>
      <c r="F34" t="s">
        <v>10</v>
      </c>
      <c r="G34" s="23">
        <v>0</v>
      </c>
      <c r="H34" s="23">
        <v>0</v>
      </c>
      <c r="I34" s="23">
        <v>0</v>
      </c>
      <c r="J34" s="23">
        <f>C31</f>
        <v>0</v>
      </c>
      <c r="K34" s="25">
        <f t="shared" si="0"/>
        <v>0</v>
      </c>
    </row>
    <row r="35" spans="2:12" x14ac:dyDescent="0.25">
      <c r="F35" t="s">
        <v>24</v>
      </c>
      <c r="G35" s="23">
        <v>0</v>
      </c>
      <c r="H35" s="23">
        <v>0</v>
      </c>
      <c r="I35" s="23">
        <v>0</v>
      </c>
      <c r="J35" s="23">
        <f>C32</f>
        <v>121212</v>
      </c>
      <c r="K35" s="25">
        <f t="shared" si="0"/>
        <v>121212</v>
      </c>
    </row>
    <row r="36" spans="2:12" x14ac:dyDescent="0.25">
      <c r="G36" s="8"/>
      <c r="H36" s="8"/>
      <c r="I36" s="8"/>
      <c r="J36" s="8"/>
      <c r="K36" s="8"/>
      <c r="L36" s="8"/>
    </row>
  </sheetData>
  <mergeCells count="3">
    <mergeCell ref="F27:L27"/>
    <mergeCell ref="A29:E29"/>
    <mergeCell ref="F19:J19"/>
  </mergeCells>
  <pageMargins left="0.75" right="0.75" top="1" bottom="1" header="0.5" footer="0.5"/>
  <pageSetup scale="95" orientation="portrait" horizontalDpi="4294967292" verticalDpi="4294967292"/>
  <headerFooter>
    <oddHeader>&amp;C&amp;"Calibri,Regular"&amp;K000000US Department of Energy _x000D_Clean Energy Strategic Planning Academy Enery Profiling Worksheet_x000D_9/12/11</oddHeader>
    <oddFooter>&amp;C&amp;"Calibri,Regular"&amp;K000000Developed by the National Renewable Energy Laboratory</oddFooter>
  </headerFooter>
  <rowBreaks count="1" manualBreakCount="1">
    <brk id="35" max="16383" man="1"/>
  </rowBreaks>
  <drawing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Government Energy InputOutput</vt:lpstr>
      <vt:lpstr>Community Energy InputOutput</vt:lpstr>
      <vt:lpstr>Government $$ InputOutput</vt:lpstr>
      <vt:lpstr>Community $$ InputOutput</vt:lpstr>
      <vt:lpstr>Instructions!Print_Area</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4.1: Energy Data Calculation and Summary Tool</dc:title>
  <dc:subject>U.S. Department of Energy (DOE) Technical Assistance Program (TAP) Solution Center publishes this strategic energy planning guide for state and local governments.  This Excel spreadsheet provides an energy data calculation and summary tool.  </dc:subject>
  <dc:creator/>
  <cp:lastModifiedBy>aglickso</cp:lastModifiedBy>
  <cp:lastPrinted>2012-08-08T13:13:29Z</cp:lastPrinted>
  <dcterms:created xsi:type="dcterms:W3CDTF">2011-09-12T01:44:15Z</dcterms:created>
  <dcterms:modified xsi:type="dcterms:W3CDTF">2013-03-12T17:53:21Z</dcterms:modified>
</cp:coreProperties>
</file>